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4390" windowHeight="6210" tabRatio="950" activeTab="0"/>
  </bookViews>
  <sheets>
    <sheet name="GC" sheetId="1" r:id="rId1"/>
    <sheet name="Contents" sheetId="2" r:id="rId2"/>
    <sheet name="GA" sheetId="3" state="hidden" r:id="rId3"/>
    <sheet name="Depn_1_BA" sheetId="4" r:id="rId4"/>
    <sheet name="Depn_2_FA" sheetId="5" r:id="rId5"/>
    <sheet name="Lookup_SC" sheetId="6" state="hidden" r:id="rId6"/>
    <sheet name="GL" sheetId="7" state="hidden" r:id="rId7"/>
    <sheet name="Numbers_BL" sheetId="8" state="hidden" r:id="rId8"/>
  </sheets>
  <externalReferences>
    <externalReference r:id="rId11"/>
    <externalReference r:id="rId12"/>
  </externalReferences>
  <definedNames>
    <definedName name="Amount_Data_Dynamic_Range">OFFSET('[1]Example_Chart_Output_BO'!$N$10,0,0,1,SUM('[1]Example_Chart_Output_BO'!$N$8:$R$8))</definedName>
    <definedName name="Ann">'GL'!$G$10</definedName>
    <definedName name="Apr">'GL'!$C$13</definedName>
    <definedName name="Aug">'GL'!$C$17</definedName>
    <definedName name="Billion">'GL'!$K$35</definedName>
    <definedName name="Billions">'GL'!$K$10</definedName>
    <definedName name="CA_Err_Chks">'[2]Err_Chks_BO'!$K$20:$K$21</definedName>
    <definedName name="CA_Err_Chks_Area_Names">'[2]Err_Chks_BO'!$D$20:$D$21</definedName>
    <definedName name="CA_Err_Chks_Flags">'[2]Err_Chks_BO'!$M$20:$M$21</definedName>
    <definedName name="CA_Err_Chks_Inc">'[2]Err_Chks_BO'!$L$20:$L$21</definedName>
    <definedName name="CB_Err_Chks_Show_Msg">'[2]Err_Chks_BO'!$C$9</definedName>
    <definedName name="Currency">'GL'!$K$13</definedName>
    <definedName name="Days_In_Wk">'GL'!$K$22</definedName>
    <definedName name="DD_Denom">'GA'!$H$17</definedName>
    <definedName name="DD_Fin_YE_Mth">'GA'!$H$11</definedName>
    <definedName name="DD_Model_Per_Type">'GA'!$H$10</definedName>
    <definedName name="DD_New_Capex_Economic_Life">'Depn_2_FA'!$I$31</definedName>
    <definedName name="DD_Opening_NCA_Economic_Life">'Depn_2_FA'!$I$28</definedName>
    <definedName name="Dec">'GL'!$C$21</definedName>
    <definedName name="Err_Chks_Msg">'[2]Err_Chks_BO'!$I$14</definedName>
    <definedName name="Err_Chks_Ttl_Areas">'[2]Err_Chks_BO'!$M$22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'[2]Err_Chks_BO'!$A$1</definedName>
    <definedName name="HL_Home">'Contents'!$B$1</definedName>
    <definedName name="Hrs_In_Day">'GL'!$K$21</definedName>
    <definedName name="Hundred">'GL'!$K$32</definedName>
    <definedName name="Jan">'GL'!$C$10</definedName>
    <definedName name="Jul">'GL'!$C$16</definedName>
    <definedName name="Jun">'GL'!$C$15</definedName>
    <definedName name="LU_Denom">'GL'!$K$10:$K$13</definedName>
    <definedName name="LU_Halves">'GL'!$C$36:$C$37</definedName>
    <definedName name="LU_Mths">'GL'!$C$10:$C$21</definedName>
    <definedName name="LU_Numbers">'Numbers_BL'!$C$10:$C$19</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 localSheetId="3">'GC'!$C$10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Opening_NCA">'Depn_2_FA'!$I$27</definedName>
    <definedName name="Per_1_End_Date">'GA'!$H$15</definedName>
    <definedName name="Per_1_End_Mth">'GA'!$H$14</definedName>
    <definedName name="Per_1_Title">'GA'!$H$16</definedName>
    <definedName name="_xlnm.Print_Area" localSheetId="1">'Contents'!$B$1:$Q$11</definedName>
    <definedName name="_xlnm.Print_Area" localSheetId="3">'Depn_1_BA'!$B$1:$S$40</definedName>
    <definedName name="_xlnm.Print_Area" localSheetId="4">'Depn_2_FA'!$B$1:$T$88</definedName>
    <definedName name="_xlnm.Print_Area" localSheetId="2">'GA'!$B$1:$L$26</definedName>
    <definedName name="_xlnm.Print_Area" localSheetId="0">'GC'!$B$1:$P$30</definedName>
    <definedName name="_xlnm.Print_Area" localSheetId="6">'GL'!$B$1:$N$40</definedName>
    <definedName name="_xlnm.Print_Area" localSheetId="5">'Lookup_SC'!$B$1:$P$30</definedName>
    <definedName name="_xlnm.Print_Area" localSheetId="7">'Numbers_BL'!$B$1:$J$40</definedName>
    <definedName name="_xlnm.Print_Titles" localSheetId="1">'Contents'!$1:$7</definedName>
    <definedName name="_xlnm.Print_Titles" localSheetId="3">'Depn_1_BA'!$1:$6</definedName>
    <definedName name="_xlnm.Print_Titles" localSheetId="4">'Depn_2_FA'!$1:$21</definedName>
    <definedName name="_xlnm.Print_Titles" localSheetId="2">'GA'!$1:$8</definedName>
    <definedName name="_xlnm.Print_Titles" localSheetId="6">'GL'!$1:$6</definedName>
    <definedName name="_xlnm.Print_Titles" localSheetId="7">'Numbers_BL'!$1:$6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OFFSET('[1]Example_Chart_Output_BO'!$N$11,,,1,COUNTA('[1]Example_Chart_Output_BO'!$N$11:$R$11))</definedName>
    <definedName name="Thousand">'GL'!$K$33</definedName>
    <definedName name="Thousands">'GL'!$K$12</definedName>
    <definedName name="Title_Data_Dynamic_Range">OFFSET('[1]Example_Chart_Output_BO'!$N$9,0,0,1,SUM('[1]Example_Chart_Output_BO'!$N$8:$R$8))</definedName>
    <definedName name="Wks_In_Yr">'GL'!$K$23</definedName>
    <definedName name="Yes">'GL'!$G$37</definedName>
    <definedName name="Yr_Name">'GL'!$G$19</definedName>
    <definedName name="Yrs_In_Yr">'GL'!$G$28</definedName>
  </definedNames>
  <calcPr fullCalcOnLoad="1"/>
</workbook>
</file>

<file path=xl/sharedStrings.xml><?xml version="1.0" encoding="utf-8"?>
<sst xmlns="http://schemas.openxmlformats.org/spreadsheetml/2006/main" count="215" uniqueCount="179">
  <si>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</si>
  <si>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</si>
  <si>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</si>
  <si>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</si>
  <si>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</si>
  <si>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</si>
  <si>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</si>
  <si>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</si>
  <si>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</si>
  <si>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</si>
  <si>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</si>
  <si>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</si>
  <si>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</si>
  <si>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</si>
  <si>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</si>
  <si>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</si>
  <si>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</si>
  <si>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</si>
  <si>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</si>
  <si>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</si>
  <si>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</si>
  <si>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</si>
  <si>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</si>
  <si>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</si>
  <si>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</si>
  <si>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</si>
  <si>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</si>
  <si>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</si>
  <si>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</si>
  <si>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</si>
  <si>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</si>
  <si>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</si>
  <si>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</si>
  <si>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</si>
  <si>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</si>
  <si>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</si>
  <si>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</si>
  <si>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</si>
  <si>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</si>
  <si>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</si>
  <si>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</si>
  <si>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</si>
  <si>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</si>
  <si>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</si>
  <si>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</si>
  <si>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</si>
  <si>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</si>
  <si>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</si>
  <si>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</si>
  <si>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</si>
  <si>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</si>
  <si>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</si>
  <si>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</si>
  <si>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</si>
  <si>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</si>
  <si>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</si>
  <si>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</si>
  <si>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</si>
  <si>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</si>
  <si>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</si>
  <si>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</si>
  <si>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</si>
  <si>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</si>
  <si>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</si>
  <si>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</si>
  <si>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</si>
  <si>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</si>
  <si>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</si>
  <si>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</si>
  <si>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</si>
  <si>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</si>
  <si>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</si>
  <si>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</si>
  <si>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</si>
  <si>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</si>
  <si>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</si>
  <si>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</si>
  <si>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</si>
  <si>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</si>
  <si>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</si>
  <si>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</si>
  <si>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</si>
  <si>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</si>
  <si>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</si>
  <si>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</si>
  <si>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</si>
  <si>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</si>
  <si>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</si>
  <si>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</si>
  <si>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</si>
  <si>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</si>
  <si>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</si>
  <si>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</si>
  <si>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</si>
  <si>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</si>
  <si>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</si>
  <si>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</si>
  <si>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</si>
  <si>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</si>
  <si>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</si>
  <si>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</si>
  <si>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</si>
  <si>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</si>
  <si>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</si>
  <si>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</si>
  <si>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</si>
  <si>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</si>
  <si>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</si>
  <si>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</si>
  <si>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</si>
  <si>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</si>
  <si>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</si>
  <si>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</si>
  <si>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</si>
  <si>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</si>
  <si>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</si>
  <si>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</si>
  <si>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</si>
  <si>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</si>
  <si>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</si>
  <si>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</si>
  <si>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</si>
  <si>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</si>
  <si>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</si>
  <si>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</si>
  <si>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</si>
  <si>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</si>
  <si>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</si>
  <si>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</si>
  <si>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</si>
  <si>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[Insert section cover note 1]</t>
  </si>
  <si>
    <t>[Insert section cover note 2]</t>
  </si>
  <si>
    <t>[Insert section cover note 3]</t>
  </si>
  <si>
    <t>SC</t>
  </si>
  <si>
    <t>Period End Year</t>
  </si>
  <si>
    <t>Financial Year</t>
  </si>
  <si>
    <t>Days in Period End Year</t>
  </si>
  <si>
    <t>Days in Financial Year</t>
  </si>
  <si>
    <t>Financial Year Period</t>
  </si>
  <si>
    <t>Period Start Date (From Start of Day...)</t>
  </si>
  <si>
    <t>Period End Date (Until End of Day...)</t>
  </si>
  <si>
    <t>Days in Period</t>
  </si>
  <si>
    <t>Counter</t>
  </si>
  <si>
    <t>Spare/Custom</t>
  </si>
  <si>
    <t>Model Lookup Tables</t>
  </si>
  <si>
    <t>a.</t>
  </si>
  <si>
    <t>Section 2.</t>
  </si>
  <si>
    <t xml:space="preserve">  Page  </t>
  </si>
  <si>
    <t>Total Pages:</t>
  </si>
  <si>
    <t>Primary Developer:  Liam Bastick</t>
  </si>
  <si>
    <t>Any queries, please e-mail:</t>
  </si>
  <si>
    <t>Website:</t>
  </si>
  <si>
    <t>FA</t>
  </si>
  <si>
    <t>BL</t>
  </si>
  <si>
    <t>Numbers Lookup</t>
  </si>
  <si>
    <t>LU_Numbers</t>
  </si>
  <si>
    <t>Suggested Control Account</t>
  </si>
  <si>
    <t>Rate - Existing</t>
  </si>
  <si>
    <t>Rate - New</t>
  </si>
  <si>
    <t>liam.bastick@sumproduct.com</t>
  </si>
  <si>
    <t>www.sumproduct.com</t>
  </si>
  <si>
    <t>Simple Grid Method</t>
  </si>
  <si>
    <t>Depreciation Rate Profiles</t>
  </si>
  <si>
    <t>Sophisticated Grid Method (One Unique Formula Copied Across and Down)</t>
  </si>
  <si>
    <t>Sumproduct Pty Ltd</t>
  </si>
  <si>
    <t>This workbook provides various methods of calculating depreciation.</t>
  </si>
  <si>
    <t>Depreciation</t>
  </si>
  <si>
    <t>BA</t>
  </si>
  <si>
    <t>Straight Line Example</t>
  </si>
  <si>
    <t>Useful Economic Life (Yrs)</t>
  </si>
  <si>
    <t>Capex Profile</t>
  </si>
  <si>
    <t>Long-Hand Calculation</t>
  </si>
  <si>
    <t>Total Depreciation</t>
  </si>
  <si>
    <t>Offset Approach</t>
  </si>
  <si>
    <t>Here's a situation that is modelled often.  Assuming straight line depreciation with a full year's depreciation charged in the year of acquisition, no revaluations, disposals or residual values, what's your preferred method of calculating the total depreciation for each period?  Feel free to add a Workings section.</t>
  </si>
  <si>
    <t>Reverse Percentages Method</t>
  </si>
  <si>
    <t>Depreciation - Possible Solutions</t>
  </si>
  <si>
    <t>Simple Depreciation - Straight Line Using SUM(OFFSET)</t>
  </si>
  <si>
    <t>b.</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</si>
</sst>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0_);\(###0\);_(###0_)"/>
    <numFmt numFmtId="171" formatCode="_(#,##0.0_);\(#,##0.0\);_(&quot;-&quot;_)"/>
    <numFmt numFmtId="172" formatCode="_(#,##0.0%_);\(#,##0.0%\);_(&quot;-&quot;_)"/>
    <numFmt numFmtId="173" formatCode="_(#,##0.0\x_);\(#,##0.0\x\);_(&quot;-&quot;_)"/>
    <numFmt numFmtId="174" formatCode="_(&quot;$&quot;#,##0.0_);\(&quot;$&quot;#,##0.0\);_(&quot;-&quot;_)"/>
    <numFmt numFmtId="175" formatCode="_)d\-mmm\-yy_)"/>
    <numFmt numFmtId="176" formatCode="_(#,##0_);\(#,##0\);_(&quot;-&quot;_)"/>
    <numFmt numFmtId="177" formatCode="0."/>
    <numFmt numFmtId="178" formatCode="#,##0."/>
    <numFmt numFmtId="179" formatCode="_(#,##0.00_);\(#,##0.00\);_(&quot;-&quot;_)"/>
    <numFmt numFmtId="180" formatCode="_(#,##0.000_);\(#,##0.000\);_(&quot;-&quot;_)"/>
    <numFmt numFmtId="181" formatCode="d/m/yy"/>
    <numFmt numFmtId="182" formatCode="_)d/m/yy_)"/>
    <numFmt numFmtId="183" formatCode="#,##0.00;[Red]\-#,##0;\-;[Blue]General"/>
    <numFmt numFmtId="184" formatCode="_(* #,##0_)_;;_(* \(#,##0\)_;;_(* #,##0_)_;"/>
    <numFmt numFmtId="185" formatCode="#,##0_);\(#,##0\);#,##0_)"/>
    <numFmt numFmtId="186" formatCode="dd/mm/yy"/>
    <numFmt numFmtId="187" formatCode="#,##0%_);\(#,##0%\);#,##0%_)"/>
    <numFmt numFmtId="188" formatCode="#,##0\x_);\(#,##0\x\);#,##0\x_)"/>
    <numFmt numFmtId="189" formatCode="&quot;$&quot;#,##0_);\(&quot;$&quot;#,##0\);&quot;$&quot;#,##0_)"/>
    <numFmt numFmtId="190" formatCode="###0_)_;;\(###0\)_;;###0_)_;"/>
    <numFmt numFmtId="191" formatCode="dd/mm/yy__;"/>
    <numFmt numFmtId="192" formatCode="_(* #,##0%_)_;;_(* \(#,##0%\)_;;_(* #,##0%_)_;"/>
    <numFmt numFmtId="193" formatCode="_(* #,##0\x_)_;;_(* \(#,##0\x\)_;;_(* #,##0\x_)_;"/>
    <numFmt numFmtId="194" formatCode="_(* &quot;$&quot;#,##0_)_;;_(* \(&quot;$&quot;#,##0\)_;;_(* &quot;$&quot;#,##0_)_;"/>
    <numFmt numFmtId="195" formatCode="###0_);\(###0\);###0_)"/>
    <numFmt numFmtId="196" formatCode="_(* #,##0_)_;;[Blue]_(* \(#,##0\)_;;_(* #,##0_)_;"/>
    <numFmt numFmtId="197" formatCode="_(* #,##0%_)_;;[Blue]_(* \(#,##0%\)_;;_(* #,##0%_)_;"/>
    <numFmt numFmtId="198" formatCode="_(* #,##0\x_)_;;[Blue]_(* \(#,##0\x\)_;;_(* #,##0\x_)_;"/>
    <numFmt numFmtId="199" formatCode="_(* &quot;$&quot;#,##0_)_;;[Blue]_(* \(&quot;$&quot;#,##0\)_;;_(* &quot;$&quot;#,##0_)_;"/>
    <numFmt numFmtId="200" formatCode="#,##0_);[Blue]\(#,##0\);#,##0_)"/>
    <numFmt numFmtId="201" formatCode="###0;\(###0\);###0"/>
    <numFmt numFmtId="202" formatCode="#,##0;\(#,##0\);#,##0"/>
    <numFmt numFmtId="203" formatCode="#,##0%;\(#,##0%\);#,##0%"/>
    <numFmt numFmtId="204" formatCode="#,##0\x;\(#,##0\x\);#,##0\x"/>
    <numFmt numFmtId="205" formatCode="&quot;$&quot;#,##0;\(&quot;$&quot;#,##0\);&quot;$&quot;#,##0"/>
    <numFmt numFmtId="206" formatCode="d/m/yy__;"/>
  </numFmts>
  <fonts count="59">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sz val="8"/>
      <color indexed="56"/>
      <name val="Arial"/>
      <family val="0"/>
    </font>
    <font>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2"/>
      <color indexed="60"/>
      <name val="Arial"/>
      <family val="0"/>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sz val="8"/>
      <color indexed="18"/>
      <name val="Arial"/>
      <family val="0"/>
    </font>
    <font>
      <b/>
      <sz val="8"/>
      <color indexed="59"/>
      <name val="Arial"/>
      <family val="0"/>
    </font>
    <font>
      <b/>
      <sz val="13"/>
      <color indexed="60"/>
      <name val="Arial"/>
      <family val="0"/>
    </font>
    <font>
      <sz val="8"/>
      <color indexed="59"/>
      <name val="Arial"/>
      <family val="0"/>
    </font>
    <font>
      <b/>
      <sz val="9"/>
      <color indexed="60"/>
      <name val="Arial"/>
      <family val="0"/>
    </font>
    <font>
      <u val="single"/>
      <sz val="8"/>
      <color indexed="36"/>
      <name val="Arial"/>
      <family val="0"/>
    </font>
    <font>
      <b/>
      <u val="single"/>
      <sz val="8"/>
      <name val="Tahoma"/>
      <family val="2"/>
    </font>
    <font>
      <sz val="8"/>
      <name val="Palatino"/>
      <family val="1"/>
    </font>
    <font>
      <sz val="8"/>
      <color indexed="29"/>
      <name val="Arial"/>
      <family val="0"/>
    </font>
    <font>
      <vertAlign val="superscript"/>
      <sz val="8"/>
      <color indexed="59"/>
      <name val="Arial"/>
      <family val="0"/>
    </font>
    <font>
      <sz val="7"/>
      <name val="Palatino"/>
      <family val="1"/>
    </font>
    <font>
      <sz val="6"/>
      <color indexed="16"/>
      <name val="Palatino"/>
      <family val="1"/>
    </font>
    <font>
      <sz val="8"/>
      <color indexed="8"/>
      <name val="Arial"/>
      <family val="0"/>
    </font>
    <font>
      <b/>
      <sz val="14"/>
      <color indexed="8"/>
      <name val="Arial"/>
      <family val="0"/>
    </font>
    <font>
      <b/>
      <sz val="10"/>
      <color indexed="8"/>
      <name val="Arial"/>
      <family val="0"/>
    </font>
    <font>
      <b/>
      <sz val="9"/>
      <color indexed="8"/>
      <name val="Arial"/>
      <family val="0"/>
    </font>
    <font>
      <b/>
      <sz val="8"/>
      <color indexed="8"/>
      <name val="Arial"/>
      <family val="0"/>
    </font>
    <font>
      <b/>
      <sz val="12"/>
      <color indexed="8"/>
      <name val="Arial"/>
      <family val="0"/>
    </font>
    <font>
      <sz val="10"/>
      <color indexed="16"/>
      <name val="Helvetica-Black"/>
      <family val="0"/>
    </font>
    <font>
      <sz val="8"/>
      <color indexed="8"/>
      <name val="Tahoma"/>
      <family val="2"/>
    </font>
    <font>
      <b/>
      <sz val="10"/>
      <color indexed="8"/>
      <name val="Tahoma"/>
      <family val="2"/>
    </font>
    <font>
      <b/>
      <sz val="9"/>
      <color indexed="8"/>
      <name val="Tahoma"/>
      <family val="2"/>
    </font>
    <font>
      <b/>
      <sz val="8"/>
      <color indexed="8"/>
      <name val="Tahoma"/>
      <family val="2"/>
    </font>
    <font>
      <b/>
      <sz val="12"/>
      <color indexed="8"/>
      <name val="Tahoma"/>
      <family val="2"/>
    </font>
    <font>
      <b/>
      <sz val="13"/>
      <color indexed="8"/>
      <name val="Tahoma"/>
      <family val="2"/>
    </font>
    <font>
      <b/>
      <sz val="14"/>
      <color indexed="8"/>
      <name val="Tahoma"/>
      <family val="2"/>
    </font>
    <font>
      <b/>
      <sz val="9"/>
      <name val="Palatino"/>
      <family val="1"/>
    </font>
    <font>
      <sz val="9"/>
      <color indexed="21"/>
      <name val="Helvetica-Black"/>
      <family val="0"/>
    </font>
    <font>
      <sz val="9"/>
      <name val="Helvetica-Black"/>
      <family val="0"/>
    </font>
    <font>
      <u val="single"/>
      <sz val="8"/>
      <color indexed="56"/>
      <name val="Arial"/>
      <family val="0"/>
    </font>
    <font>
      <u val="single"/>
      <sz val="7.5"/>
      <color indexed="56"/>
      <name val="Arial"/>
      <family val="0"/>
    </font>
  </fonts>
  <fills count="6">
    <fill>
      <patternFill/>
    </fill>
    <fill>
      <patternFill patternType="gray125"/>
    </fill>
    <fill>
      <patternFill patternType="solid">
        <fgColor indexed="18"/>
        <bgColor indexed="64"/>
      </patternFill>
    </fill>
    <fill>
      <patternFill patternType="solid">
        <fgColor indexed="16"/>
        <bgColor indexed="64"/>
      </patternFill>
    </fill>
    <fill>
      <patternFill patternType="solid">
        <fgColor indexed="8"/>
        <bgColor indexed="64"/>
      </patternFill>
    </fill>
    <fill>
      <patternFill patternType="solid">
        <fgColor indexed="62"/>
        <bgColor indexed="64"/>
      </patternFill>
    </fill>
  </fills>
  <borders count="13">
    <border>
      <left/>
      <right/>
      <top/>
      <bottom/>
      <diagonal/>
    </border>
    <border>
      <left style="medium">
        <color indexed="22"/>
      </left>
      <right style="medium">
        <color indexed="22"/>
      </right>
      <top style="medium">
        <color indexed="22"/>
      </top>
      <bottom style="medium">
        <color indexed="22"/>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dotted"/>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ashed"/>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s>
  <cellStyleXfs count="189">
    <xf numFmtId="0" fontId="0" fillId="0" borderId="0">
      <alignment/>
      <protection/>
    </xf>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24" fillId="0" borderId="1">
      <alignment horizontal="center" vertical="center"/>
      <protection locked="0"/>
    </xf>
    <xf numFmtId="186" fontId="24" fillId="0" borderId="1">
      <alignment horizontal="center" vertical="center"/>
      <protection locked="0"/>
    </xf>
    <xf numFmtId="188" fontId="24" fillId="0" borderId="1">
      <alignment horizontal="center" vertical="center"/>
      <protection locked="0"/>
    </xf>
    <xf numFmtId="185" fontId="24" fillId="0" borderId="1">
      <alignment horizontal="center" vertical="center"/>
      <protection locked="0"/>
    </xf>
    <xf numFmtId="187" fontId="24" fillId="0" borderId="1">
      <alignment horizontal="center" vertical="center"/>
      <protection locked="0"/>
    </xf>
    <xf numFmtId="0" fontId="24" fillId="0" borderId="1">
      <alignment horizontal="center" vertical="center"/>
      <protection locked="0"/>
    </xf>
    <xf numFmtId="185" fontId="24" fillId="0" borderId="1">
      <alignment horizontal="center" vertical="center"/>
      <protection locked="0"/>
    </xf>
    <xf numFmtId="174" fontId="0" fillId="0" borderId="2">
      <alignment horizontal="center" vertical="center"/>
      <protection locked="0"/>
    </xf>
    <xf numFmtId="15" fontId="0" fillId="0" borderId="2">
      <alignment horizontal="center" vertical="center"/>
      <protection locked="0"/>
    </xf>
    <xf numFmtId="173" fontId="0" fillId="0" borderId="2">
      <alignment horizontal="center" vertical="center"/>
      <protection locked="0"/>
    </xf>
    <xf numFmtId="171" fontId="0" fillId="0" borderId="2">
      <alignment horizontal="center" vertical="center"/>
      <protection locked="0"/>
    </xf>
    <xf numFmtId="172" fontId="0" fillId="0" borderId="2">
      <alignment horizontal="center" vertical="center"/>
      <protection locked="0"/>
    </xf>
    <xf numFmtId="170" fontId="0" fillId="0" borderId="2">
      <alignment horizontal="center" vertical="center"/>
      <protection locked="0"/>
    </xf>
    <xf numFmtId="194" fontId="24" fillId="0" borderId="1">
      <alignment vertical="center"/>
      <protection locked="0"/>
    </xf>
    <xf numFmtId="206" fontId="24" fillId="0" borderId="1">
      <alignment horizontal="right" vertical="center"/>
      <protection locked="0"/>
    </xf>
    <xf numFmtId="193" fontId="24" fillId="0" borderId="1">
      <alignment vertical="center"/>
      <protection locked="0"/>
    </xf>
    <xf numFmtId="184" fontId="24" fillId="0" borderId="1">
      <alignment vertical="center"/>
      <protection locked="0"/>
    </xf>
    <xf numFmtId="192" fontId="24" fillId="0" borderId="1">
      <alignment vertical="center"/>
      <protection locked="0"/>
    </xf>
    <xf numFmtId="0" fontId="24" fillId="0" borderId="1">
      <alignment vertical="center"/>
      <protection locked="0"/>
    </xf>
    <xf numFmtId="190" fontId="24" fillId="0" borderId="1">
      <alignment horizontal="right" vertical="center"/>
      <protection locked="0"/>
    </xf>
    <xf numFmtId="0" fontId="0" fillId="0" borderId="2">
      <alignment vertical="center"/>
      <protection locked="0"/>
    </xf>
    <xf numFmtId="205" fontId="24" fillId="0" borderId="1">
      <alignment horizontal="center" vertical="center"/>
      <protection locked="0"/>
    </xf>
    <xf numFmtId="181" fontId="24" fillId="0" borderId="1">
      <alignment horizontal="center" vertical="center"/>
      <protection locked="0"/>
    </xf>
    <xf numFmtId="204" fontId="24" fillId="0" borderId="1">
      <alignment horizontal="center" vertical="center"/>
      <protection locked="0"/>
    </xf>
    <xf numFmtId="202" fontId="24" fillId="0" borderId="1">
      <alignment horizontal="center" vertical="center"/>
      <protection locked="0"/>
    </xf>
    <xf numFmtId="203" fontId="24" fillId="0" borderId="1">
      <alignment horizontal="center" vertical="center"/>
      <protection locked="0"/>
    </xf>
    <xf numFmtId="0" fontId="24" fillId="0" borderId="1">
      <alignment horizontal="center" vertical="center"/>
      <protection locked="0"/>
    </xf>
    <xf numFmtId="201" fontId="24" fillId="0" borderId="1">
      <alignment horizontal="center" vertical="center"/>
      <protection locked="0"/>
    </xf>
    <xf numFmtId="174" fontId="0" fillId="0" borderId="2">
      <alignment horizontal="right" vertical="center"/>
      <protection locked="0"/>
    </xf>
    <xf numFmtId="175" fontId="0" fillId="0" borderId="2">
      <alignment horizontal="right" vertical="center"/>
      <protection locked="0"/>
    </xf>
    <xf numFmtId="173" fontId="0" fillId="0" borderId="2">
      <alignment horizontal="right" vertical="center"/>
      <protection locked="0"/>
    </xf>
    <xf numFmtId="171" fontId="0" fillId="0" borderId="2">
      <alignment horizontal="right" vertical="center"/>
      <protection locked="0"/>
    </xf>
    <xf numFmtId="172" fontId="0" fillId="0" borderId="2">
      <alignment horizontal="right" vertical="center"/>
      <protection locked="0"/>
    </xf>
    <xf numFmtId="170" fontId="0" fillId="0" borderId="2">
      <alignment horizontal="right" vertical="center"/>
      <protection locked="0"/>
    </xf>
    <xf numFmtId="0" fontId="0" fillId="0" borderId="0" applyNumberFormat="0" applyFont="0" applyFill="0" applyBorder="0">
      <alignment horizontal="center" vertical="center"/>
      <protection locked="0"/>
    </xf>
    <xf numFmtId="174" fontId="0" fillId="0" borderId="0" applyFill="0" applyBorder="0">
      <alignment horizontal="center" vertical="center"/>
      <protection/>
    </xf>
    <xf numFmtId="15" fontId="0" fillId="0" borderId="0" applyFill="0" applyBorder="0">
      <alignment horizontal="center" vertical="center"/>
      <protection/>
    </xf>
    <xf numFmtId="173" fontId="0" fillId="0" borderId="0" applyFill="0" applyBorder="0">
      <alignment horizontal="center" vertical="center"/>
      <protection/>
    </xf>
    <xf numFmtId="171" fontId="0" fillId="0" borderId="0" applyFill="0" applyBorder="0">
      <alignment horizontal="center" vertical="center"/>
      <protection/>
    </xf>
    <xf numFmtId="172" fontId="0" fillId="0" borderId="0" applyFill="0" applyBorder="0">
      <alignment horizontal="center" vertical="center"/>
      <protection/>
    </xf>
    <xf numFmtId="170"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2" fillId="0" borderId="0" applyFill="0" applyBorder="0">
      <alignment vertical="center"/>
      <protection/>
    </xf>
    <xf numFmtId="0" fontId="36" fillId="0" borderId="0" applyFill="0" applyBorder="0">
      <alignment vertical="center"/>
      <protection/>
    </xf>
    <xf numFmtId="44" fontId="0" fillId="0" borderId="0" applyFont="0" applyFill="0" applyBorder="0" applyAlignment="0" applyProtection="0"/>
    <xf numFmtId="42" fontId="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3" applyNumberFormat="0" applyFont="0" applyFill="0" applyAlignment="0" applyProtection="0"/>
    <xf numFmtId="183" fontId="37" fillId="2" borderId="4">
      <alignment/>
      <protection/>
    </xf>
    <xf numFmtId="194" fontId="24" fillId="0" borderId="1">
      <alignment horizontal="center" vertical="center"/>
      <protection locked="0"/>
    </xf>
    <xf numFmtId="191" fontId="24" fillId="0" borderId="1">
      <alignment horizontal="right" vertical="center"/>
      <protection locked="0"/>
    </xf>
    <xf numFmtId="193" fontId="24" fillId="0" borderId="1">
      <alignment horizontal="center" vertical="center"/>
      <protection locked="0"/>
    </xf>
    <xf numFmtId="184" fontId="24" fillId="0" borderId="1">
      <alignment horizontal="center" vertical="center"/>
      <protection locked="0"/>
    </xf>
    <xf numFmtId="192" fontId="24" fillId="0" borderId="1">
      <alignment horizontal="center" vertical="center"/>
      <protection locked="0"/>
    </xf>
    <xf numFmtId="0" fontId="24" fillId="0" borderId="1">
      <alignment vertical="center"/>
      <protection locked="0"/>
    </xf>
    <xf numFmtId="190" fontId="24" fillId="0" borderId="1">
      <alignment horizontal="right" vertical="center"/>
      <protection locked="0"/>
    </xf>
    <xf numFmtId="0" fontId="33" fillId="0" borderId="0" applyNumberFormat="0" applyFill="0" applyBorder="0" applyAlignment="0" applyProtection="0"/>
    <xf numFmtId="0" fontId="38" fillId="0" borderId="0" applyFill="0" applyBorder="0" applyProtection="0">
      <alignment horizontal="left"/>
    </xf>
    <xf numFmtId="194" fontId="24" fillId="0" borderId="0" applyFill="0" applyBorder="0">
      <alignment horizontal="right" vertical="center"/>
      <protection/>
    </xf>
    <xf numFmtId="206" fontId="24" fillId="0" borderId="0" applyFill="0" applyBorder="0">
      <alignment horizontal="right" vertical="center"/>
      <protection/>
    </xf>
    <xf numFmtId="193" fontId="24" fillId="0" borderId="0" applyFill="0" applyBorder="0">
      <alignment horizontal="right" vertical="center"/>
      <protection/>
    </xf>
    <xf numFmtId="184" fontId="24" fillId="0" borderId="0" applyFill="0" applyBorder="0">
      <alignment horizontal="right" vertical="center"/>
      <protection/>
    </xf>
    <xf numFmtId="192" fontId="24" fillId="0" borderId="0" applyFill="0" applyBorder="0">
      <alignment horizontal="right" vertical="center"/>
      <protection/>
    </xf>
    <xf numFmtId="0" fontId="23" fillId="0" borderId="0" applyFill="0" applyBorder="0">
      <alignment horizontal="right" vertical="center"/>
      <protection/>
    </xf>
    <xf numFmtId="190" fontId="24" fillId="0" borderId="0" applyFill="0" applyBorder="0">
      <alignment horizontal="right" vertical="center"/>
      <protection/>
    </xf>
    <xf numFmtId="0" fontId="35" fillId="0" borderId="0" applyFont="0" applyFill="0" applyBorder="0" applyAlignment="0" applyProtection="0"/>
    <xf numFmtId="0" fontId="39" fillId="0" borderId="0" applyProtection="0">
      <alignment horizontal="right"/>
    </xf>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6"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22" fillId="0" borderId="0" applyFill="0" applyBorder="0">
      <alignment vertical="center"/>
      <protection/>
    </xf>
    <xf numFmtId="199" fontId="24" fillId="0" borderId="0" applyFill="0" applyBorder="0">
      <alignment horizontal="center" vertical="center"/>
      <protection/>
    </xf>
    <xf numFmtId="191" fontId="24" fillId="0" borderId="0" applyFill="0" applyBorder="0">
      <alignment horizontal="right" vertical="center"/>
      <protection/>
    </xf>
    <xf numFmtId="198" fontId="24" fillId="0" borderId="0" applyFill="0" applyBorder="0">
      <alignment horizontal="center" vertical="center"/>
      <protection/>
    </xf>
    <xf numFmtId="196" fontId="24" fillId="0" borderId="0" applyFill="0" applyBorder="0">
      <alignment horizontal="center" vertical="center"/>
      <protection/>
    </xf>
    <xf numFmtId="197" fontId="24" fillId="0" borderId="0" applyFill="0" applyBorder="0">
      <alignment horizontal="center" vertical="center"/>
      <protection/>
    </xf>
    <xf numFmtId="190" fontId="24" fillId="0" borderId="0" applyFill="0" applyBorder="0">
      <alignment horizontal="right" vertical="center"/>
      <protection/>
    </xf>
    <xf numFmtId="0" fontId="27" fillId="0" borderId="0" applyFill="0" applyBorder="0">
      <alignment vertical="center"/>
      <protection/>
    </xf>
    <xf numFmtId="0" fontId="32" fillId="0" borderId="0" applyFill="0" applyBorder="0">
      <alignment vertical="center"/>
      <protection/>
    </xf>
    <xf numFmtId="0" fontId="23" fillId="0" borderId="0" applyFill="0" applyBorder="0">
      <alignment vertical="center"/>
      <protection/>
    </xf>
    <xf numFmtId="0" fontId="24" fillId="0" borderId="0" applyFill="0" applyBorder="0">
      <alignment vertical="center"/>
      <protection/>
    </xf>
    <xf numFmtId="189" fontId="24" fillId="0" borderId="0" applyFill="0" applyBorder="0">
      <alignment horizontal="center" vertical="center"/>
      <protection/>
    </xf>
    <xf numFmtId="186" fontId="24" fillId="0" borderId="0" applyFill="0" applyBorder="0">
      <alignment horizontal="center" vertical="center"/>
      <protection/>
    </xf>
    <xf numFmtId="188" fontId="24" fillId="0" borderId="0" applyFill="0" applyBorder="0">
      <alignment horizontal="center" vertical="center"/>
      <protection/>
    </xf>
    <xf numFmtId="185" fontId="24" fillId="0" borderId="0" applyFill="0" applyBorder="0">
      <alignment horizontal="center" vertical="center"/>
      <protection/>
    </xf>
    <xf numFmtId="187" fontId="24" fillId="0" borderId="0" applyFill="0" applyBorder="0">
      <alignment horizontal="center" vertical="center"/>
      <protection/>
    </xf>
    <xf numFmtId="0" fontId="24" fillId="0" borderId="0" applyFill="0" applyBorder="0">
      <alignment horizontal="center" vertical="center"/>
      <protection/>
    </xf>
    <xf numFmtId="195" fontId="24" fillId="0" borderId="0" applyFill="0" applyBorder="0">
      <alignment horizontal="center" vertical="center"/>
      <protection/>
    </xf>
    <xf numFmtId="0" fontId="21" fillId="0" borderId="0" applyFill="0" applyBorder="0">
      <alignment vertical="center"/>
      <protection/>
    </xf>
    <xf numFmtId="0" fontId="6" fillId="0" borderId="5" applyFill="0">
      <alignment horizontal="center" vertical="center"/>
      <protection/>
    </xf>
    <xf numFmtId="0" fontId="0" fillId="0" borderId="5" applyFill="0">
      <alignment horizontal="center" vertical="center"/>
      <protection/>
    </xf>
    <xf numFmtId="176" fontId="0" fillId="0" borderId="5" applyFill="0">
      <alignment horizontal="center" vertical="center"/>
      <protection/>
    </xf>
    <xf numFmtId="0" fontId="24" fillId="0" borderId="6" applyFill="0">
      <alignment horizontal="center" vertical="center"/>
      <protection/>
    </xf>
    <xf numFmtId="0" fontId="23" fillId="0" borderId="6" applyFill="0">
      <alignment horizontal="center" vertical="center"/>
      <protection/>
    </xf>
    <xf numFmtId="200" fontId="24" fillId="0" borderId="6" applyFill="0">
      <alignment horizontal="center" vertical="center"/>
      <protection/>
    </xf>
    <xf numFmtId="185" fontId="40" fillId="0" borderId="6" applyFill="0">
      <alignment horizontal="center" vertical="center"/>
      <protection/>
    </xf>
    <xf numFmtId="205" fontId="24" fillId="0" borderId="0" applyFill="0" applyBorder="0">
      <alignment horizontal="center" vertical="center"/>
      <protection/>
    </xf>
    <xf numFmtId="181" fontId="24" fillId="0" borderId="0" applyFill="0" applyBorder="0">
      <alignment horizontal="center" vertical="center"/>
      <protection/>
    </xf>
    <xf numFmtId="204" fontId="24" fillId="0" borderId="0" applyFill="0" applyBorder="0">
      <alignment horizontal="center" vertical="center"/>
      <protection/>
    </xf>
    <xf numFmtId="202" fontId="24" fillId="0" borderId="0" applyFill="0" applyBorder="0">
      <alignment horizontal="center" vertical="center"/>
      <protection/>
    </xf>
    <xf numFmtId="203" fontId="24" fillId="0" borderId="0" applyFill="0" applyBorder="0">
      <alignment horizontal="center" vertical="center"/>
      <protection/>
    </xf>
    <xf numFmtId="0" fontId="24" fillId="0" borderId="0" applyFill="0" applyBorder="0">
      <alignment horizontal="center" vertical="center"/>
      <protection/>
    </xf>
    <xf numFmtId="201" fontId="24" fillId="0" borderId="0" applyFill="0" applyBorder="0">
      <alignment horizontal="center" vertical="center"/>
      <protection/>
    </xf>
    <xf numFmtId="0" fontId="3" fillId="0" borderId="0" applyFill="0" applyBorder="0">
      <alignment horizontal="left" vertical="center"/>
      <protection/>
    </xf>
    <xf numFmtId="0" fontId="35" fillId="0" borderId="0" applyFont="0" applyFill="0" applyBorder="0" applyAlignment="0" applyProtection="0"/>
    <xf numFmtId="0" fontId="41" fillId="0" borderId="0" applyFill="0" applyBorder="0">
      <alignment vertical="center"/>
      <protection/>
    </xf>
    <xf numFmtId="194" fontId="40" fillId="0" borderId="0" applyFill="0" applyBorder="0">
      <alignment horizontal="center" vertical="center"/>
      <protection/>
    </xf>
    <xf numFmtId="191" fontId="40" fillId="0" borderId="0" applyFill="0" applyBorder="0">
      <alignment horizontal="right" vertical="center"/>
      <protection/>
    </xf>
    <xf numFmtId="193" fontId="40" fillId="0" borderId="0" applyFill="0" applyBorder="0">
      <alignment horizontal="center" vertical="center"/>
      <protection/>
    </xf>
    <xf numFmtId="184" fontId="40" fillId="0" borderId="0" applyFill="0" applyBorder="0">
      <alignment horizontal="center" vertical="center"/>
      <protection/>
    </xf>
    <xf numFmtId="192" fontId="40" fillId="0" borderId="0" applyFill="0" applyBorder="0">
      <alignment horizontal="center" vertical="center"/>
      <protection/>
    </xf>
    <xf numFmtId="0" fontId="40" fillId="0" borderId="0" applyFill="0" applyBorder="0">
      <alignment horizontal="right" vertical="center"/>
      <protection/>
    </xf>
    <xf numFmtId="190" fontId="40" fillId="0" borderId="0" applyFill="0" applyBorder="0">
      <alignment horizontal="right" vertical="center"/>
      <protection/>
    </xf>
    <xf numFmtId="0" fontId="42" fillId="0" borderId="0" applyFill="0" applyBorder="0">
      <alignment vertical="center"/>
      <protection/>
    </xf>
    <xf numFmtId="0" fontId="43" fillId="0" borderId="0" applyFill="0" applyBorder="0">
      <alignment vertical="center"/>
      <protection/>
    </xf>
    <xf numFmtId="0" fontId="44" fillId="0" borderId="0" applyFill="0" applyBorder="0">
      <alignment vertical="center"/>
      <protection/>
    </xf>
    <xf numFmtId="0" fontId="40" fillId="0" borderId="0" applyFill="0" applyBorder="0">
      <alignment vertical="center"/>
      <protection/>
    </xf>
    <xf numFmtId="189" fontId="40" fillId="0" borderId="0" applyFill="0" applyBorder="0">
      <alignment horizontal="center" vertical="center"/>
      <protection/>
    </xf>
    <xf numFmtId="186" fontId="40" fillId="0" borderId="0" applyFill="0" applyBorder="0">
      <alignment horizontal="center" vertical="center"/>
      <protection/>
    </xf>
    <xf numFmtId="188" fontId="40" fillId="0" borderId="0" applyFill="0" applyBorder="0">
      <alignment horizontal="center" vertical="center"/>
      <protection/>
    </xf>
    <xf numFmtId="185" fontId="40" fillId="0" borderId="0" applyFill="0" applyBorder="0">
      <alignment horizontal="center" vertical="center"/>
      <protection/>
    </xf>
    <xf numFmtId="187" fontId="40" fillId="0" borderId="0" applyFill="0" applyBorder="0">
      <alignment horizontal="center" vertical="center"/>
      <protection/>
    </xf>
    <xf numFmtId="0" fontId="40" fillId="0" borderId="0" applyFill="0" applyBorder="0">
      <alignment horizontal="center" vertical="center"/>
      <protection/>
    </xf>
    <xf numFmtId="195" fontId="40" fillId="0" borderId="0" applyFill="0" applyBorder="0">
      <alignment horizontal="center" vertical="center"/>
      <protection/>
    </xf>
    <xf numFmtId="0" fontId="45" fillId="0" borderId="0" applyFill="0" applyBorder="0">
      <alignment vertical="center"/>
      <protection/>
    </xf>
    <xf numFmtId="1" fontId="46" fillId="0" borderId="0" applyProtection="0">
      <alignment horizontal="right" vertical="center"/>
    </xf>
    <xf numFmtId="9" fontId="0" fillId="0" borderId="0" applyFont="0" applyFill="0" applyBorder="0" applyAlignment="0" applyProtection="0"/>
    <xf numFmtId="0" fontId="6" fillId="0" borderId="0" applyFill="0" applyBorder="0">
      <alignment vertical="center"/>
      <protection/>
    </xf>
    <xf numFmtId="174" fontId="13" fillId="0" borderId="0" applyFill="0" applyBorder="0">
      <alignment horizontal="right" vertical="center"/>
      <protection/>
    </xf>
    <xf numFmtId="175"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73" fontId="13" fillId="0" borderId="0" applyFill="0" applyBorder="0">
      <alignment horizontal="right" vertical="center"/>
      <protection/>
    </xf>
    <xf numFmtId="0" fontId="13" fillId="0" borderId="0" applyFill="0" applyBorder="0">
      <alignment vertical="center"/>
      <protection/>
    </xf>
    <xf numFmtId="171" fontId="13" fillId="0" borderId="0" applyFill="0" applyBorder="0">
      <alignment horizontal="right" vertical="center"/>
      <protection/>
    </xf>
    <xf numFmtId="172" fontId="13" fillId="0" borderId="0" applyFill="0" applyBorder="0">
      <alignment horizontal="right" vertical="center"/>
      <protection/>
    </xf>
    <xf numFmtId="0" fontId="19" fillId="0" borderId="0" applyFill="0" applyBorder="0">
      <alignment vertical="center"/>
      <protection/>
    </xf>
    <xf numFmtId="171" fontId="15" fillId="0" borderId="0" applyFill="0" applyBorder="0">
      <alignment horizontal="left" vertical="center"/>
      <protection/>
    </xf>
    <xf numFmtId="0" fontId="14" fillId="0" borderId="0" applyFill="0" applyBorder="0">
      <alignment horizontal="left" vertical="center"/>
      <protection/>
    </xf>
    <xf numFmtId="170" fontId="13" fillId="0" borderId="0" applyFill="0" applyBorder="0">
      <alignment horizontal="right" vertical="center"/>
      <protection/>
    </xf>
    <xf numFmtId="174" fontId="0" fillId="0" borderId="0" applyFill="0" applyBorder="0">
      <alignment horizontal="right" vertical="center"/>
      <protection/>
    </xf>
    <xf numFmtId="175" fontId="0" fillId="0" borderId="0" applyFill="0" applyBorder="0">
      <alignment horizontal="right" vertical="center"/>
      <protection/>
    </xf>
    <xf numFmtId="173" fontId="0" fillId="0" borderId="0" applyFill="0" applyBorder="0">
      <alignment horizontal="right" vertical="center"/>
      <protection/>
    </xf>
    <xf numFmtId="171" fontId="0" fillId="0" borderId="0" applyFill="0" applyBorder="0">
      <alignment horizontal="right" vertical="center"/>
      <protection/>
    </xf>
    <xf numFmtId="172" fontId="0" fillId="0" borderId="0" applyFill="0" applyBorder="0">
      <alignment horizontal="right" vertical="center"/>
      <protection/>
    </xf>
    <xf numFmtId="170"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54" fillId="0" borderId="0" applyBorder="0" applyProtection="0">
      <alignment vertical="center"/>
    </xf>
    <xf numFmtId="0" fontId="54" fillId="0" borderId="7" applyBorder="0" applyProtection="0">
      <alignment horizontal="right" vertical="center"/>
    </xf>
    <xf numFmtId="0" fontId="55" fillId="3" borderId="0" applyBorder="0" applyProtection="0">
      <alignment horizontal="centerContinuous" vertical="center"/>
    </xf>
    <xf numFmtId="0" fontId="55" fillId="4" borderId="7" applyBorder="0" applyProtection="0">
      <alignment horizontal="centerContinuous" vertical="center"/>
    </xf>
    <xf numFmtId="0" fontId="56" fillId="0" borderId="0" applyFill="0" applyBorder="0" applyProtection="0">
      <alignment horizontal="left"/>
    </xf>
    <xf numFmtId="0" fontId="38" fillId="0" borderId="8" applyFill="0" applyBorder="0" applyProtection="0">
      <alignment horizontal="left" vertical="top"/>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93">
    <xf numFmtId="0" fontId="0" fillId="0" borderId="0" xfId="0" applyAlignment="1">
      <alignment/>
    </xf>
    <xf numFmtId="0" fontId="21" fillId="0" borderId="0" xfId="128" applyFont="1">
      <alignment horizontal="left" vertical="center"/>
      <protection/>
    </xf>
    <xf numFmtId="0" fontId="22" fillId="0" borderId="0" xfId="178" applyFont="1">
      <alignment horizontal="left" vertical="center"/>
      <protection/>
    </xf>
    <xf numFmtId="0" fontId="23" fillId="0" borderId="0" xfId="89" applyFont="1" applyAlignment="1">
      <alignment horizontal="left" vertical="center"/>
      <protection/>
    </xf>
    <xf numFmtId="0" fontId="24" fillId="0" borderId="0" xfId="90" applyFont="1" applyAlignment="1">
      <alignment horizontal="left" vertical="center"/>
      <protection/>
    </xf>
    <xf numFmtId="0" fontId="25" fillId="0" borderId="0" xfId="90" applyFont="1" applyAlignment="1">
      <alignment horizontal="left" vertical="center"/>
      <protection/>
    </xf>
    <xf numFmtId="0" fontId="3" fillId="0" borderId="0" xfId="128" applyFont="1">
      <alignment horizontal="left" vertical="center"/>
      <protection/>
    </xf>
    <xf numFmtId="0" fontId="25" fillId="0" borderId="0" xfId="90" applyFont="1" applyAlignment="1" applyProtection="1">
      <alignment horizontal="left" vertical="center"/>
      <protection locked="0"/>
    </xf>
    <xf numFmtId="0" fontId="0" fillId="0" borderId="0" xfId="0" applyAlignment="1" applyProtection="1">
      <alignment/>
      <protection locked="0"/>
    </xf>
    <xf numFmtId="0" fontId="8" fillId="0" borderId="0" xfId="92">
      <alignment horizontal="center" vertical="center"/>
      <protection locked="0"/>
    </xf>
    <xf numFmtId="0" fontId="27" fillId="0" borderId="0" xfId="87" applyFont="1" applyAlignment="1">
      <alignment horizontal="left" vertical="center"/>
      <protection/>
    </xf>
    <xf numFmtId="0" fontId="22" fillId="0" borderId="0" xfId="178" applyFont="1" applyProtection="1">
      <alignment horizontal="left" vertical="center"/>
      <protection locked="0"/>
    </xf>
    <xf numFmtId="0" fontId="8" fillId="0" borderId="0" xfId="92" applyAlignment="1">
      <alignment horizontal="right" vertical="center"/>
      <protection locked="0"/>
    </xf>
    <xf numFmtId="0" fontId="8" fillId="0" borderId="0" xfId="92" applyAlignment="1">
      <alignment horizontal="left" vertical="center"/>
      <protection locked="0"/>
    </xf>
    <xf numFmtId="0" fontId="23" fillId="0" borderId="5" xfId="114" applyFont="1">
      <alignment horizontal="center" vertical="center"/>
      <protection/>
    </xf>
    <xf numFmtId="0" fontId="24" fillId="0" borderId="5" xfId="115" applyFont="1">
      <alignment horizontal="center" vertical="center"/>
      <protection/>
    </xf>
    <xf numFmtId="176" fontId="24" fillId="0" borderId="5" xfId="116" applyFont="1">
      <alignment horizontal="center" vertical="center"/>
      <protection/>
    </xf>
    <xf numFmtId="0" fontId="0" fillId="2" borderId="0" xfId="0" applyFill="1" applyAlignment="1">
      <alignment/>
    </xf>
    <xf numFmtId="0" fontId="3" fillId="2" borderId="0" xfId="128" applyFont="1" applyFill="1">
      <alignment horizontal="left" vertical="center"/>
      <protection/>
    </xf>
    <xf numFmtId="0" fontId="22" fillId="2" borderId="0" xfId="178" applyFont="1" applyFill="1">
      <alignment horizontal="left" vertical="center"/>
      <protection/>
    </xf>
    <xf numFmtId="0" fontId="0" fillId="2" borderId="0" xfId="0" applyFill="1" applyAlignment="1" applyProtection="1">
      <alignment/>
      <protection locked="0"/>
    </xf>
    <xf numFmtId="0" fontId="8" fillId="2" borderId="0" xfId="92" applyFill="1">
      <alignment horizontal="center" vertical="center"/>
      <protection locked="0"/>
    </xf>
    <xf numFmtId="0" fontId="8" fillId="2" borderId="0" xfId="92" applyFill="1" applyAlignment="1">
      <alignment horizontal="right" vertical="center"/>
      <protection locked="0"/>
    </xf>
    <xf numFmtId="0" fontId="8" fillId="2" borderId="0" xfId="92" applyFill="1" applyAlignment="1">
      <alignment horizontal="left" vertical="center"/>
      <protection locked="0"/>
    </xf>
    <xf numFmtId="0" fontId="0" fillId="2" borderId="0" xfId="0" applyFill="1" applyAlignment="1">
      <alignment horizontal="left"/>
    </xf>
    <xf numFmtId="0" fontId="27" fillId="2" borderId="0" xfId="87" applyFont="1" applyFill="1" applyAlignment="1">
      <alignment horizontal="left" vertical="center"/>
      <protection/>
    </xf>
    <xf numFmtId="0" fontId="23" fillId="2" borderId="0" xfId="89" applyFont="1" applyFill="1" applyAlignment="1">
      <alignment horizontal="left" vertical="center"/>
      <protection/>
    </xf>
    <xf numFmtId="0" fontId="23" fillId="2" borderId="0" xfId="89" applyFont="1" applyFill="1" applyAlignment="1">
      <alignment horizontal="center" vertical="center"/>
      <protection/>
    </xf>
    <xf numFmtId="0" fontId="28" fillId="2" borderId="0" xfId="49" applyFont="1" applyFill="1">
      <alignment horizontal="center" vertical="center"/>
      <protection locked="0"/>
    </xf>
    <xf numFmtId="15" fontId="24" fillId="0" borderId="2" xfId="23" applyFont="1">
      <alignment horizontal="center" vertical="center"/>
      <protection locked="0"/>
    </xf>
    <xf numFmtId="176" fontId="24" fillId="2" borderId="0" xfId="53" applyNumberFormat="1" applyFont="1" applyFill="1">
      <alignment horizontal="center" vertical="center"/>
      <protection/>
    </xf>
    <xf numFmtId="0" fontId="6" fillId="2" borderId="0" xfId="89" applyFont="1" applyFill="1" applyAlignment="1">
      <alignment horizontal="center" vertical="center"/>
      <protection/>
    </xf>
    <xf numFmtId="15" fontId="6" fillId="2" borderId="0" xfId="51" applyFont="1" applyFill="1">
      <alignment horizontal="center" vertical="center"/>
      <protection/>
    </xf>
    <xf numFmtId="0" fontId="29" fillId="2" borderId="0" xfId="89" applyFont="1" applyFill="1" applyAlignment="1">
      <alignment horizontal="center" vertical="center"/>
      <protection/>
    </xf>
    <xf numFmtId="0" fontId="24" fillId="2" borderId="0" xfId="90" applyFont="1" applyFill="1" applyAlignment="1">
      <alignment horizontal="left" vertical="center"/>
      <protection/>
    </xf>
    <xf numFmtId="177" fontId="24" fillId="2" borderId="0" xfId="90" applyNumberFormat="1" applyFont="1" applyFill="1" applyAlignment="1">
      <alignment horizontal="right" vertical="top"/>
      <protection/>
    </xf>
    <xf numFmtId="0" fontId="30" fillId="0" borderId="0" xfId="177" applyFont="1">
      <alignment horizontal="left" vertical="center"/>
      <protection/>
    </xf>
    <xf numFmtId="0" fontId="28" fillId="2" borderId="0" xfId="90" applyFont="1" applyFill="1" applyAlignment="1" applyProtection="1">
      <alignment horizontal="left" vertical="center"/>
      <protection locked="0"/>
    </xf>
    <xf numFmtId="0" fontId="0" fillId="0" borderId="7" xfId="0" applyBorder="1" applyAlignment="1">
      <alignment/>
    </xf>
    <xf numFmtId="0" fontId="8" fillId="0" borderId="0" xfId="92" applyBorder="1">
      <alignment horizontal="center" vertical="center"/>
      <protection locked="0"/>
    </xf>
    <xf numFmtId="0" fontId="0" fillId="0" borderId="0" xfId="0" applyBorder="1" applyAlignment="1">
      <alignment/>
    </xf>
    <xf numFmtId="0" fontId="27" fillId="0" borderId="7" xfId="87" applyFont="1" applyBorder="1" applyAlignment="1">
      <alignment horizontal="left" vertical="center"/>
      <protection/>
    </xf>
    <xf numFmtId="0" fontId="27" fillId="0" borderId="7" xfId="87" applyFont="1" applyBorder="1" applyAlignment="1">
      <alignment horizontal="center" vertical="center"/>
      <protection/>
    </xf>
    <xf numFmtId="176" fontId="0" fillId="0" borderId="0" xfId="0" applyNumberFormat="1" applyAlignment="1">
      <alignment/>
    </xf>
    <xf numFmtId="176" fontId="11" fillId="0" borderId="0" xfId="187" applyNumberFormat="1" applyFont="1" applyAlignment="1">
      <alignment horizontal="center" vertical="center"/>
      <protection locked="0"/>
    </xf>
    <xf numFmtId="0" fontId="32" fillId="0" borderId="0" xfId="88" applyFont="1" applyAlignment="1">
      <alignment horizontal="left" vertical="center"/>
      <protection/>
    </xf>
    <xf numFmtId="176" fontId="32" fillId="0" borderId="9" xfId="88" applyNumberFormat="1" applyFont="1" applyBorder="1" applyAlignment="1">
      <alignment horizontal="center" vertical="center"/>
      <protection/>
    </xf>
    <xf numFmtId="0" fontId="23" fillId="2" borderId="0" xfId="89" applyFont="1" applyFill="1">
      <alignment vertical="center"/>
      <protection/>
    </xf>
    <xf numFmtId="0" fontId="4" fillId="2" borderId="0" xfId="87" applyFont="1" applyFill="1">
      <alignment vertical="center"/>
      <protection/>
    </xf>
    <xf numFmtId="0" fontId="29" fillId="2" borderId="0" xfId="152" applyFont="1" applyFill="1" applyAlignment="1">
      <alignment horizontal="left" vertical="center"/>
      <protection/>
    </xf>
    <xf numFmtId="0" fontId="31" fillId="2" borderId="0" xfId="90" applyFont="1" applyFill="1" applyAlignment="1">
      <alignment horizontal="left" vertical="center"/>
      <protection/>
    </xf>
    <xf numFmtId="0" fontId="29" fillId="2" borderId="0" xfId="152" applyFont="1" applyFill="1" applyAlignment="1">
      <alignment horizontal="right" vertical="center"/>
      <protection/>
    </xf>
    <xf numFmtId="170" fontId="0" fillId="2" borderId="0" xfId="176" applyFont="1" applyFill="1" applyAlignment="1">
      <alignment horizontal="right" vertical="center"/>
      <protection/>
    </xf>
    <xf numFmtId="0" fontId="31" fillId="2" borderId="0" xfId="90" applyFont="1" applyFill="1" applyAlignment="1">
      <alignment horizontal="center" vertical="center"/>
      <protection/>
    </xf>
    <xf numFmtId="175" fontId="0" fillId="2" borderId="0" xfId="172" applyFont="1" applyFill="1" applyAlignment="1">
      <alignment horizontal="right" vertical="center"/>
      <protection/>
    </xf>
    <xf numFmtId="176" fontId="31" fillId="2" borderId="0" xfId="174" applyNumberFormat="1" applyFont="1" applyFill="1" applyAlignment="1">
      <alignment horizontal="right" vertical="center"/>
      <protection/>
    </xf>
    <xf numFmtId="176" fontId="0" fillId="2" borderId="0" xfId="174" applyNumberFormat="1" applyFont="1" applyFill="1" applyAlignment="1">
      <alignment horizontal="right" vertical="center"/>
      <protection/>
    </xf>
    <xf numFmtId="0" fontId="29" fillId="2" borderId="7" xfId="152" applyFont="1" applyFill="1" applyBorder="1" applyAlignment="1">
      <alignment horizontal="left" vertical="center"/>
      <protection/>
    </xf>
    <xf numFmtId="0" fontId="0" fillId="2" borderId="7" xfId="0" applyFill="1" applyBorder="1" applyAlignment="1">
      <alignment/>
    </xf>
    <xf numFmtId="0" fontId="29" fillId="2" borderId="7" xfId="152" applyFont="1" applyFill="1" applyBorder="1" applyAlignment="1">
      <alignment horizontal="right" vertical="center"/>
      <protection/>
    </xf>
    <xf numFmtId="0" fontId="24" fillId="2" borderId="7" xfId="90" applyFont="1" applyFill="1" applyBorder="1" applyAlignment="1">
      <alignment horizontal="left" vertical="center"/>
      <protection/>
    </xf>
    <xf numFmtId="176" fontId="24" fillId="2" borderId="7" xfId="174" applyNumberFormat="1" applyFont="1" applyFill="1" applyBorder="1" applyAlignment="1">
      <alignment horizontal="right" vertical="center"/>
      <protection/>
    </xf>
    <xf numFmtId="0" fontId="6" fillId="2" borderId="0" xfId="89" applyFont="1" applyFill="1">
      <alignment vertical="center"/>
      <protection/>
    </xf>
    <xf numFmtId="0" fontId="29" fillId="2" borderId="0" xfId="89" applyFont="1" applyFill="1">
      <alignment vertical="center"/>
      <protection/>
    </xf>
    <xf numFmtId="176" fontId="24" fillId="0" borderId="2" xfId="46" applyNumberFormat="1" applyFont="1">
      <alignment horizontal="right" vertical="center"/>
      <protection locked="0"/>
    </xf>
    <xf numFmtId="0" fontId="31" fillId="2" borderId="0" xfId="90" applyFont="1" applyFill="1">
      <alignment vertical="center"/>
      <protection/>
    </xf>
    <xf numFmtId="0" fontId="24" fillId="0" borderId="5" xfId="115" applyFont="1" applyAlignment="1">
      <alignment horizontal="center" vertical="center"/>
      <protection/>
    </xf>
    <xf numFmtId="0" fontId="4" fillId="0" borderId="0" xfId="87" applyFont="1" applyAlignment="1">
      <alignment horizontal="left" vertical="center"/>
      <protection/>
    </xf>
    <xf numFmtId="0" fontId="29" fillId="0" borderId="5" xfId="114" applyFont="1">
      <alignment horizontal="center" vertical="center"/>
      <protection/>
    </xf>
    <xf numFmtId="0" fontId="27" fillId="2" borderId="0" xfId="87" applyFont="1" applyFill="1">
      <alignment vertical="center"/>
      <protection/>
    </xf>
    <xf numFmtId="176" fontId="0" fillId="2" borderId="0" xfId="174" applyNumberFormat="1" applyFont="1" applyFill="1">
      <alignment horizontal="right" vertical="center"/>
      <protection/>
    </xf>
    <xf numFmtId="176" fontId="0" fillId="5" borderId="7" xfId="174" applyNumberFormat="1" applyFont="1" applyFill="1" applyBorder="1">
      <alignment horizontal="right" vertical="center"/>
      <protection/>
    </xf>
    <xf numFmtId="172" fontId="0" fillId="2" borderId="0" xfId="175" applyFont="1" applyFill="1">
      <alignment horizontal="right" vertical="center"/>
      <protection/>
    </xf>
    <xf numFmtId="0" fontId="0" fillId="2" borderId="0" xfId="90" applyFont="1" applyFill="1">
      <alignment vertical="center"/>
      <protection/>
    </xf>
    <xf numFmtId="0" fontId="6" fillId="2" borderId="10" xfId="0" applyFont="1" applyFill="1" applyBorder="1" applyAlignment="1">
      <alignment horizontal="center"/>
    </xf>
    <xf numFmtId="171" fontId="0" fillId="2" borderId="0" xfId="174" applyFont="1" applyFill="1">
      <alignment horizontal="right" vertical="center"/>
      <protection/>
    </xf>
    <xf numFmtId="171" fontId="24" fillId="0" borderId="2" xfId="46" applyFont="1">
      <alignment horizontal="right" vertical="center"/>
      <protection locked="0"/>
    </xf>
    <xf numFmtId="171" fontId="6" fillId="5" borderId="9" xfId="174" applyFont="1" applyFill="1" applyBorder="1">
      <alignment horizontal="right" vertical="center"/>
      <protection/>
    </xf>
    <xf numFmtId="171" fontId="6" fillId="5" borderId="0" xfId="174" applyFont="1" applyFill="1">
      <alignment horizontal="right" vertical="center"/>
      <protection/>
    </xf>
    <xf numFmtId="171" fontId="31" fillId="2" borderId="0" xfId="174" applyFont="1" applyFill="1">
      <alignment horizontal="right" vertical="center"/>
      <protection/>
    </xf>
    <xf numFmtId="171" fontId="0" fillId="2" borderId="7" xfId="174" applyFont="1" applyFill="1" applyBorder="1">
      <alignment horizontal="right" vertical="center"/>
      <protection/>
    </xf>
    <xf numFmtId="0" fontId="7" fillId="0" borderId="0" xfId="94">
      <alignment horizontal="left" vertical="center"/>
      <protection locked="0"/>
    </xf>
    <xf numFmtId="176" fontId="11" fillId="0" borderId="0" xfId="187" applyNumberFormat="1" applyAlignment="1" quotePrefix="1">
      <alignment horizontal="right" vertical="center"/>
      <protection locked="0"/>
    </xf>
    <xf numFmtId="176" fontId="11" fillId="0" borderId="0" xfId="187" applyNumberFormat="1" quotePrefix="1">
      <alignment horizontal="left" vertical="center"/>
      <protection locked="0"/>
    </xf>
    <xf numFmtId="0" fontId="24" fillId="2" borderId="0" xfId="90" applyFont="1" applyFill="1" applyAlignment="1">
      <alignment horizontal="left" vertical="top" wrapText="1"/>
      <protection/>
    </xf>
    <xf numFmtId="0" fontId="7" fillId="2" borderId="0" xfId="94" applyFill="1">
      <alignment horizontal="left" vertical="center"/>
      <protection locked="0"/>
    </xf>
    <xf numFmtId="0" fontId="24" fillId="2" borderId="0" xfId="90" applyFont="1" applyFill="1" applyAlignment="1">
      <alignment vertical="center" wrapText="1"/>
      <protection/>
    </xf>
    <xf numFmtId="0" fontId="32" fillId="2" borderId="0" xfId="88" applyFont="1" applyFill="1">
      <alignment vertical="center"/>
      <protection/>
    </xf>
    <xf numFmtId="176" fontId="23" fillId="0" borderId="2" xfId="46" applyNumberFormat="1" applyFont="1" applyAlignment="1">
      <alignment horizontal="center" vertical="center"/>
      <protection locked="0"/>
    </xf>
    <xf numFmtId="0" fontId="31" fillId="5" borderId="0" xfId="90" applyFont="1" applyFill="1">
      <alignment vertical="center"/>
      <protection/>
    </xf>
    <xf numFmtId="0" fontId="0" fillId="5" borderId="0" xfId="0" applyFill="1" applyAlignment="1">
      <alignment/>
    </xf>
    <xf numFmtId="171" fontId="6" fillId="2" borderId="11" xfId="174" applyFont="1" applyFill="1" applyBorder="1">
      <alignment horizontal="right" vertical="center"/>
      <protection/>
    </xf>
    <xf numFmtId="171" fontId="6" fillId="5" borderId="12" xfId="174" applyFont="1" applyFill="1" applyBorder="1">
      <alignment horizontal="right" vertical="center"/>
      <protection/>
    </xf>
  </cellXfs>
  <cellStyles count="176">
    <cellStyle name="Normal" xfId="0"/>
    <cellStyle name="RowLevel_0" xfId="1"/>
    <cellStyle name="AS Input Middle Currency" xfId="15"/>
    <cellStyle name="AS Input Middle Date" xfId="16"/>
    <cellStyle name="AS Input Middle Multiple" xfId="17"/>
    <cellStyle name="AS Input Middle Number" xfId="18"/>
    <cellStyle name="AS Input Middle Percentage" xfId="19"/>
    <cellStyle name="AS Input Middle Title / Name" xfId="20"/>
    <cellStyle name="AS Input Middle Year" xfId="21"/>
    <cellStyle name="Assumptions Center Currency" xfId="22"/>
    <cellStyle name="Assumptions Center Date" xfId="23"/>
    <cellStyle name="Assumptions Center Multiple" xfId="24"/>
    <cellStyle name="Assumptions Center Number" xfId="25"/>
    <cellStyle name="Assumptions Center Percentage" xfId="26"/>
    <cellStyle name="Assumptions Center Year" xfId="27"/>
    <cellStyle name="Assumptions Forecast Currency" xfId="28"/>
    <cellStyle name="Assumptions Forecast Date" xfId="29"/>
    <cellStyle name="Assumptions Forecast Multiple" xfId="30"/>
    <cellStyle name="Assumptions Forecast Number" xfId="31"/>
    <cellStyle name="Assumptions Forecast Percentage" xfId="32"/>
    <cellStyle name="Assumptions Forecast Title / Name" xfId="33"/>
    <cellStyle name="Assumptions Forecast Year" xfId="34"/>
    <cellStyle name="Assumptions Heading" xfId="35"/>
    <cellStyle name="Assumptions Middle Currency" xfId="36"/>
    <cellStyle name="Assumptions Middle Date" xfId="37"/>
    <cellStyle name="Assumptions Middle Multiple" xfId="38"/>
    <cellStyle name="Assumptions Middle Number" xfId="39"/>
    <cellStyle name="Assumptions Middle Percentage" xfId="40"/>
    <cellStyle name="Assumptions Middle Title / Name" xfId="41"/>
    <cellStyle name="Assumptions Middle Year" xfId="42"/>
    <cellStyle name="Assumptions Right Currency" xfId="43"/>
    <cellStyle name="Assumptions Right Date" xfId="44"/>
    <cellStyle name="Assumptions Right Multiple" xfId="45"/>
    <cellStyle name="Assumptions Right Number" xfId="46"/>
    <cellStyle name="Assumptions Right Percentage" xfId="47"/>
    <cellStyle name="Assumptions Right Year" xfId="48"/>
    <cellStyle name="Cell Link" xfId="49"/>
    <cellStyle name="Center Currency" xfId="50"/>
    <cellStyle name="Center Date" xfId="51"/>
    <cellStyle name="Center Multiple" xfId="52"/>
    <cellStyle name="Center Number" xfId="53"/>
    <cellStyle name="Center Percentage" xfId="54"/>
    <cellStyle name="Center Year" xfId="55"/>
    <cellStyle name="Comma" xfId="56"/>
    <cellStyle name="Comma [0]" xfId="57"/>
    <cellStyle name="Comma 0" xfId="58"/>
    <cellStyle name="Comma 2" xfId="59"/>
    <cellStyle name="Company Name" xfId="60"/>
    <cellStyle name="Cover Link Note" xfId="61"/>
    <cellStyle name="Currency" xfId="62"/>
    <cellStyle name="Currency [0]" xfId="63"/>
    <cellStyle name="Currency 0" xfId="64"/>
    <cellStyle name="Currency 2" xfId="65"/>
    <cellStyle name="Date Aligned" xfId="66"/>
    <cellStyle name="Dotted Line" xfId="67"/>
    <cellStyle name="Example Heading" xfId="68"/>
    <cellStyle name="FAS Input Currency" xfId="69"/>
    <cellStyle name="FAS Input Date" xfId="70"/>
    <cellStyle name="FAS Input Multiple" xfId="71"/>
    <cellStyle name="FAS Input Number" xfId="72"/>
    <cellStyle name="FAS Input Percentage" xfId="73"/>
    <cellStyle name="FAS Input Title / Name" xfId="74"/>
    <cellStyle name="FAS Input Year" xfId="75"/>
    <cellStyle name="Followed Hyperlink" xfId="76"/>
    <cellStyle name="Footnote" xfId="77"/>
    <cellStyle name="Forecast Currency" xfId="78"/>
    <cellStyle name="Forecast Date" xfId="79"/>
    <cellStyle name="Forecast Multiple" xfId="80"/>
    <cellStyle name="Forecast Number" xfId="81"/>
    <cellStyle name="Forecast Percentage" xfId="82"/>
    <cellStyle name="Forecast Period Title" xfId="83"/>
    <cellStyle name="Forecast Year" xfId="84"/>
    <cellStyle name="Hard Percent" xfId="85"/>
    <cellStyle name="Header" xfId="86"/>
    <cellStyle name="Heading 1" xfId="87"/>
    <cellStyle name="Heading 2" xfId="88"/>
    <cellStyle name="Heading 3" xfId="89"/>
    <cellStyle name="Heading 4" xfId="90"/>
    <cellStyle name="Hyperlink" xfId="91"/>
    <cellStyle name="Hyperlink Arrow" xfId="92"/>
    <cellStyle name="Hyperlink Check" xfId="93"/>
    <cellStyle name="Hyperlink Text" xfId="94"/>
    <cellStyle name="Input Company Name" xfId="95"/>
    <cellStyle name="Input Forecast Currency" xfId="96"/>
    <cellStyle name="Input Forecast Date" xfId="97"/>
    <cellStyle name="Input Forecast Multiple" xfId="98"/>
    <cellStyle name="Input Forecast Number" xfId="99"/>
    <cellStyle name="Input Forecast Percentage" xfId="100"/>
    <cellStyle name="Input Forecast Year" xfId="101"/>
    <cellStyle name="Input Heading 1" xfId="102"/>
    <cellStyle name="Input Heading 2" xfId="103"/>
    <cellStyle name="Input Heading 3" xfId="104"/>
    <cellStyle name="Input Heading 4" xfId="105"/>
    <cellStyle name="Input Middle Currency" xfId="106"/>
    <cellStyle name="Input Middle Date" xfId="107"/>
    <cellStyle name="Input Middle Multiple" xfId="108"/>
    <cellStyle name="Input Middle Number" xfId="109"/>
    <cellStyle name="Input Middle Percentage" xfId="110"/>
    <cellStyle name="Input Middle Title / Name" xfId="111"/>
    <cellStyle name="Input Middle Year" xfId="112"/>
    <cellStyle name="Input Sheet Title" xfId="113"/>
    <cellStyle name="Lookup Table Heading" xfId="114"/>
    <cellStyle name="Lookup Table Label" xfId="115"/>
    <cellStyle name="Lookup Table Number" xfId="116"/>
    <cellStyle name="LS Input Lookup Label" xfId="117"/>
    <cellStyle name="LS Input Table Heading" xfId="118"/>
    <cellStyle name="LS Input Table No. 1" xfId="119"/>
    <cellStyle name="LS Output Table No. 2+" xfId="120"/>
    <cellStyle name="Middle Currency" xfId="121"/>
    <cellStyle name="Middle Date" xfId="122"/>
    <cellStyle name="Middle Multiple" xfId="123"/>
    <cellStyle name="Middle Number" xfId="124"/>
    <cellStyle name="Middle Percentage" xfId="125"/>
    <cellStyle name="Middle Title / Name" xfId="126"/>
    <cellStyle name="Middle Year" xfId="127"/>
    <cellStyle name="Model Name" xfId="128"/>
    <cellStyle name="Multiple" xfId="129"/>
    <cellStyle name="Output Company Name" xfId="130"/>
    <cellStyle name="Output Forecast Currency" xfId="131"/>
    <cellStyle name="Output Forecast Date" xfId="132"/>
    <cellStyle name="Output Forecast Multiple" xfId="133"/>
    <cellStyle name="Output Forecast Number" xfId="134"/>
    <cellStyle name="Output Forecast Percentage" xfId="135"/>
    <cellStyle name="Output Forecast Period Title" xfId="136"/>
    <cellStyle name="Output Forecast Year" xfId="137"/>
    <cellStyle name="Output Heading 1" xfId="138"/>
    <cellStyle name="Output Heading 2" xfId="139"/>
    <cellStyle name="Output Heading 3" xfId="140"/>
    <cellStyle name="Output Heading 4" xfId="141"/>
    <cellStyle name="Output Middle Currency" xfId="142"/>
    <cellStyle name="Output Middle Date" xfId="143"/>
    <cellStyle name="Output Middle Multiple" xfId="144"/>
    <cellStyle name="Output Middle Number" xfId="145"/>
    <cellStyle name="Output Middle Percentage" xfId="146"/>
    <cellStyle name="Output Middle Title / Name" xfId="147"/>
    <cellStyle name="Output Middle Year" xfId="148"/>
    <cellStyle name="Output Sheet Title" xfId="149"/>
    <cellStyle name="Page Number" xfId="150"/>
    <cellStyle name="Percent" xfId="151"/>
    <cellStyle name="Period Title" xfId="152"/>
    <cellStyle name="Presentation Currency" xfId="153"/>
    <cellStyle name="Presentation Date" xfId="154"/>
    <cellStyle name="Presentation Heading 1" xfId="155"/>
    <cellStyle name="Presentation Heading 2" xfId="156"/>
    <cellStyle name="Presentation Heading 3" xfId="157"/>
    <cellStyle name="Presentation Heading 4" xfId="158"/>
    <cellStyle name="Presentation Hyperlink Arrow" xfId="159"/>
    <cellStyle name="Presentation Hyperlink Check" xfId="160"/>
    <cellStyle name="Presentation Hyperlink Text" xfId="161"/>
    <cellStyle name="Presentation Model Name" xfId="162"/>
    <cellStyle name="Presentation Multiple" xfId="163"/>
    <cellStyle name="Presentation Normal" xfId="164"/>
    <cellStyle name="Presentation Number" xfId="165"/>
    <cellStyle name="Presentation Percentage" xfId="166"/>
    <cellStyle name="Presentation Period Title" xfId="167"/>
    <cellStyle name="Presentation Section Number" xfId="168"/>
    <cellStyle name="Presentation Sheet Title" xfId="169"/>
    <cellStyle name="Presentation Year" xfId="170"/>
    <cellStyle name="Right Currency" xfId="171"/>
    <cellStyle name="Right Date" xfId="172"/>
    <cellStyle name="Right Multiple" xfId="173"/>
    <cellStyle name="Right Number" xfId="174"/>
    <cellStyle name="Right Percentage" xfId="175"/>
    <cellStyle name="Right Year" xfId="176"/>
    <cellStyle name="Section Number" xfId="177"/>
    <cellStyle name="Sheet Title" xfId="178"/>
    <cellStyle name="Table Head" xfId="179"/>
    <cellStyle name="Table Head Aligned" xfId="180"/>
    <cellStyle name="Table Head Blue" xfId="181"/>
    <cellStyle name="Table Head Green" xfId="182"/>
    <cellStyle name="Table Title" xfId="183"/>
    <cellStyle name="Table Units" xfId="184"/>
    <cellStyle name="TOC 1" xfId="185"/>
    <cellStyle name="TOC 2" xfId="186"/>
    <cellStyle name="TOC 3" xfId="187"/>
    <cellStyle name="TOC 4" xfId="18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4"/>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7</xdr:col>
      <xdr:colOff>247650</xdr:colOff>
      <xdr:row>4</xdr:row>
      <xdr:rowOff>38100</xdr:rowOff>
    </xdr:from>
    <xdr:ext cx="2819400" cy="1438275"/>
    <xdr:sp>
      <xdr:nvSpPr>
        <xdr:cNvPr id="2" name="TextBox 5"/>
        <xdr:cNvSpPr txBox="1">
          <a:spLocks noChangeArrowheads="1"/>
        </xdr:cNvSpPr>
      </xdr:nvSpPr>
      <xdr:spPr>
        <a:xfrm>
          <a:off x="3781425" y="609600"/>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1"/>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2"/>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3"/>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4"/>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5"/>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6"/>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6</xdr:row>
      <xdr:rowOff>76200</xdr:rowOff>
    </xdr:from>
    <xdr:ext cx="2228850" cy="704850"/>
    <xdr:sp>
      <xdr:nvSpPr>
        <xdr:cNvPr id="7" name="TextBox 7"/>
        <xdr:cNvSpPr txBox="1">
          <a:spLocks noChangeArrowheads="1"/>
        </xdr:cNvSpPr>
      </xdr:nvSpPr>
      <xdr:spPr>
        <a:xfrm>
          <a:off x="7115175" y="1095375"/>
          <a:ext cx="2228850" cy="7048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The SUM(OFFSET) method assumes that the useful economic life is calculated over an integer number of periods and is best used for straight-line methods.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190500</xdr:colOff>
      <xdr:row>62</xdr:row>
      <xdr:rowOff>95250</xdr:rowOff>
    </xdr:from>
    <xdr:ext cx="2819400" cy="2085975"/>
    <xdr:sp>
      <xdr:nvSpPr>
        <xdr:cNvPr id="1" name="TextBox 868"/>
        <xdr:cNvSpPr txBox="1">
          <a:spLocks noChangeArrowheads="1"/>
        </xdr:cNvSpPr>
      </xdr:nvSpPr>
      <xdr:spPr>
        <a:xfrm>
          <a:off x="10572750" y="7629525"/>
          <a:ext cx="2819400" cy="20859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This one unique formula works as follows.
</a:t>
          </a:r>
          <a:r>
            <a:rPr lang="en-US" cap="none" sz="800" b="1" i="0" u="none" baseline="0">
              <a:latin typeface="Tahoma"/>
              <a:ea typeface="Tahoma"/>
              <a:cs typeface="Tahoma"/>
            </a:rPr>
            <a:t>1st row of formula:</a:t>
          </a:r>
          <a:r>
            <a:rPr lang="en-US" cap="none" sz="800" b="0" i="0" u="none" baseline="0">
              <a:latin typeface="Tahoma"/>
              <a:ea typeface="Tahoma"/>
              <a:cs typeface="Tahoma"/>
            </a:rPr>
            <a:t> checks to see if the formula is in the first row of the array.
</a:t>
          </a:r>
          <a:r>
            <a:rPr lang="en-US" cap="none" sz="800" b="1" i="0" u="none" baseline="0">
              <a:latin typeface="Tahoma"/>
              <a:ea typeface="Tahoma"/>
              <a:cs typeface="Tahoma"/>
            </a:rPr>
            <a:t>2nd row:</a:t>
          </a:r>
          <a:r>
            <a:rPr lang="en-US" cap="none" sz="800" b="0" i="0" u="none" baseline="0">
              <a:latin typeface="Tahoma"/>
              <a:ea typeface="Tahoma"/>
              <a:cs typeface="Tahoma"/>
            </a:rPr>
            <a:t> undertakes a different, simple calculation for the existing Non-Current Assets (for first row of the array only).
</a:t>
          </a:r>
          <a:r>
            <a:rPr lang="en-US" cap="none" sz="800" b="1" i="0" u="none" baseline="0">
              <a:latin typeface="Tahoma"/>
              <a:ea typeface="Tahoma"/>
              <a:cs typeface="Tahoma"/>
            </a:rPr>
            <a:t>3rd row:</a:t>
          </a:r>
          <a:r>
            <a:rPr lang="en-US" cap="none" sz="800" b="0" i="0" u="none" baseline="0">
              <a:latin typeface="Tahoma"/>
              <a:ea typeface="Tahoma"/>
              <a:cs typeface="Tahoma"/>
            </a:rPr>
            <a:t> checks to ensure the calculation in the fourth row will not give an error (i.e. ensures value of zero for cells to the left of the leading diagnonal).
</a:t>
          </a:r>
          <a:r>
            <a:rPr lang="en-US" cap="none" sz="800" b="1" i="0" u="none" baseline="0">
              <a:latin typeface="Tahoma"/>
              <a:ea typeface="Tahoma"/>
              <a:cs typeface="Tahoma"/>
            </a:rPr>
            <a:t>4th row:</a:t>
          </a:r>
          <a:r>
            <a:rPr lang="en-US" cap="none" sz="800" b="0" i="0" u="none" baseline="0">
              <a:latin typeface="Tahoma"/>
              <a:ea typeface="Tahoma"/>
              <a:cs typeface="Tahoma"/>
            </a:rPr>
            <a:t> calculates the correct depreciable amount for all new capital expenditure.
</a:t>
          </a:r>
          <a:r>
            <a:rPr lang="en-US" cap="none" sz="800" b="1" i="0" u="none" baseline="0">
              <a:latin typeface="Tahoma"/>
              <a:ea typeface="Tahoma"/>
              <a:cs typeface="Tahoma"/>
            </a:rPr>
            <a:t>5th row:</a:t>
          </a:r>
          <a:r>
            <a:rPr lang="en-US" cap="none" sz="800" b="0" i="0" u="none" baseline="0">
              <a:latin typeface="Tahoma"/>
              <a:ea typeface="Tahoma"/>
              <a:cs typeface="Tahoma"/>
            </a:rPr>
            <a:t> error trap value (see 3rd row explanation).</a:t>
          </a:r>
        </a:p>
      </xdr:txBody>
    </xdr:sp>
    <xdr:clientData/>
  </xdr:oneCellAnchor>
  <xdr:oneCellAnchor>
    <xdr:from>
      <xdr:col>20</xdr:col>
      <xdr:colOff>190500</xdr:colOff>
      <xdr:row>79</xdr:row>
      <xdr:rowOff>19050</xdr:rowOff>
    </xdr:from>
    <xdr:ext cx="2819400" cy="1762125"/>
    <xdr:sp>
      <xdr:nvSpPr>
        <xdr:cNvPr id="2" name="TextBox 869"/>
        <xdr:cNvSpPr txBox="1">
          <a:spLocks noChangeArrowheads="1"/>
        </xdr:cNvSpPr>
      </xdr:nvSpPr>
      <xdr:spPr>
        <a:xfrm>
          <a:off x="10572750" y="10001250"/>
          <a:ext cx="2819400" cy="17621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The formula in cell J86
</a:t>
          </a:r>
          <a:r>
            <a:rPr lang="en-US" cap="none" sz="800" b="1" i="0" u="none" baseline="0">
              <a:latin typeface="Tahoma"/>
              <a:ea typeface="Tahoma"/>
              <a:cs typeface="Tahoma"/>
            </a:rPr>
            <a:t>SUMPRODUCT(OFFSET($J30,0,0,1,J$18),
OFFSET($S83,0,0,1,-J$18))</a:t>
          </a:r>
          <a:r>
            <a:rPr lang="en-US" cap="none" sz="800" b="0" i="0" u="none" baseline="0">
              <a:latin typeface="Tahoma"/>
              <a:ea typeface="Tahoma"/>
              <a:cs typeface="Tahoma"/>
            </a:rPr>
            <a:t>
could be replaced by
</a:t>
          </a:r>
          <a:r>
            <a:rPr lang="en-US" cap="none" sz="800" b="1" i="0" u="none" baseline="0">
              <a:latin typeface="Tahoma"/>
              <a:ea typeface="Tahoma"/>
              <a:cs typeface="Tahoma"/>
            </a:rPr>
            <a:t>=SUMPRODUCT($J30:J30,
OFFSET($S83,0,0,1,-J$18))</a:t>
          </a:r>
          <a:r>
            <a:rPr lang="en-US" cap="none" sz="800" b="0" i="0" u="none" baseline="0">
              <a:latin typeface="Tahoma"/>
              <a:ea typeface="Tahoma"/>
              <a:cs typeface="Tahoma"/>
            </a:rPr>
            <a:t>
but the second SUMPRODUCT function has been used for contrast with the first one (which is required).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am\My%20Documents\SUMPRODUCT\Transpacific\Training%20Course%20Materials\TI%20Excel%20Modelling%20Training%20FOR%20PRINTING%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m.bastick\Desktop\Spreadsheet%20Doctor\Doctor%2004%20-%20OFFSET\BPM%20OFFSET%20Examp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C"/>
      <sheetName val="Contents"/>
      <sheetName val="Keys_SC"/>
      <sheetName val="Formats_&amp;_Styles_Key_BO"/>
      <sheetName val="Sheet_Naming_Key_BO"/>
      <sheetName val="Range_Naming_Key_BO"/>
      <sheetName val="Keyboard_Shortcuts_SC"/>
      <sheetName val="Keyboard_Shortcuts_BA"/>
      <sheetName val="Assumptions_SC"/>
      <sheetName val="Formats_SSC"/>
      <sheetName val="Comprehensive_Example_BA"/>
      <sheetName val="Thousands_Etc_Examples_BA"/>
      <sheetName val="Date_Format_Examples_BA"/>
      <sheetName val="Preserving_Alignment_BA"/>
      <sheetName val="Conditional_Formatting_BO"/>
      <sheetName val="Styles_SSC"/>
      <sheetName val="Before_BA"/>
      <sheetName val="After_BA"/>
      <sheetName val="Controls_SC"/>
      <sheetName val="Control_BO"/>
      <sheetName val="Key_Functions_SC"/>
      <sheetName val="IF_Family_SSC"/>
      <sheetName val="IF_A_BO"/>
      <sheetName val="IF_B_BO"/>
      <sheetName val="IF_C_BO"/>
      <sheetName val="IF_A_Ans_BO"/>
      <sheetName val="IF_B_Ans_BO"/>
      <sheetName val="IF_C_Ans_BO"/>
      <sheetName val="Simple_SUMIF_BO"/>
      <sheetName val="Dynamic_SUMIF_BO"/>
      <sheetName val="Case_Sens_SUMIF_BO"/>
      <sheetName val="Non_Vector_SUMIF_BO"/>
      <sheetName val="Vert_v_Horiz_SUMIF_BO"/>
      <sheetName val="Comp_SUMPRODUCT_BO"/>
      <sheetName val="Unique_Entry_SUMPRODUCT_BO"/>
      <sheetName val="LOOKUP_Family_SSC"/>
      <sheetName val="LOOKUP_Vector_BO"/>
      <sheetName val="LOOKUP_Array_BO"/>
      <sheetName val="HLOOKUP_BO"/>
      <sheetName val="VLOOKUP_BO"/>
      <sheetName val="Multi_Table_LOOKUP_BO"/>
      <sheetName val="INDEX_BO"/>
      <sheetName val="MATCH_BO"/>
      <sheetName val="INDEX_MATCH_BO"/>
      <sheetName val="Multi_Col_Lookup_BO"/>
      <sheetName val="Case_Sens_INDEX_MATCH_BO"/>
      <sheetName val="OFFSET_Examples_SSC"/>
      <sheetName val="OFFSET_Cell_BO"/>
      <sheetName val="OFFSET_Cell_Ans_BO"/>
      <sheetName val="Depn_Illustration_BA"/>
      <sheetName val="Multiple_Ref_Cells_BA"/>
      <sheetName val="Chart_Data_BA"/>
      <sheetName val="Example_Chart_Output_BO"/>
      <sheetName val="Scenario_Analysis_SC"/>
      <sheetName val="Scenario_Illustration_BA"/>
      <sheetName val="One_Variable_TABLE_BO"/>
      <sheetName val="Two_Variable_TABLE_BO"/>
      <sheetName val="Scenario_Manager_BA"/>
      <sheetName val="Valuation_Modelling_SC"/>
      <sheetName val="Accounting_Metrics_SSC"/>
      <sheetName val="Ratios_and_EVA_BA"/>
      <sheetName val="NPV_and_IRR_SSC"/>
      <sheetName val="Simple_NPV_and_IRR_BO"/>
      <sheetName val="Simple_NPV_and_IRR_Ans_BO"/>
      <sheetName val="XNPV_BA"/>
      <sheetName val="XNPV_Ans_BA"/>
      <sheetName val="XIRR_BA"/>
      <sheetName val="XIRR_Ans_BA"/>
      <sheetName val="MIRR_BA"/>
      <sheetName val="Which_Cash_Flow_BA"/>
      <sheetName val="Ratios_and_EVA_Ans_BA"/>
      <sheetName val="Ent_Value_Example_FA"/>
      <sheetName val="Ent_Value_Example_Ans_FA"/>
      <sheetName val="Eq_Value_Example_FA"/>
      <sheetName val="Eq_Value_Example_Ans_FA"/>
      <sheetName val="Ent_Value_Data_BL"/>
      <sheetName val="Eq_Value_Data_BL"/>
      <sheetName val="Economic_Life_Replacement_BA"/>
      <sheetName val="Real_Options_SSC"/>
      <sheetName val="Patent_Example_BA"/>
      <sheetName val="Gold_Mine_Example_BA"/>
      <sheetName val="GA"/>
      <sheetName val="Lookup_SC"/>
      <sheetName val="GL"/>
      <sheetName val="LOOKUP_Vector_Ans_BO"/>
      <sheetName val="LOOKUP_Array_Ans_BO"/>
      <sheetName val="HLOOKUP_Ans_BO"/>
      <sheetName val="VLOOKUP_Ans_BO"/>
      <sheetName val="Multi_Table_LOOKUP_Ans_BO"/>
      <sheetName val="MATCH_Ans_BO"/>
      <sheetName val="INDEX_Ans_BO"/>
      <sheetName val="INDEX_MATCH_Ans_BO"/>
      <sheetName val="Multi_Col_Lookup_Ans_BO"/>
      <sheetName val="Case_Sens_INDEX_MATCH_Ans_BO"/>
      <sheetName val="Simple_SUMIF_Ans_BO"/>
      <sheetName val="Dynamic_SUMIF_Ans_BO"/>
      <sheetName val="Case_Sens_SUMIF_Ans_BO"/>
      <sheetName val="Non_Vector_SUMIF_Ans_BO"/>
      <sheetName val="Vert_v_Horiz_SUMIF_Ans_BO"/>
      <sheetName val="Comp_SUMPRODUCT_Ans_BO"/>
      <sheetName val="Unique_Entry_SUMPRODUCT_Ans_BO"/>
    </sheetNames>
    <sheetDataSet>
      <sheetData sheetId="52">
        <row r="8">
          <cell r="N8">
            <v>1</v>
          </cell>
          <cell r="O8">
            <v>1</v>
          </cell>
          <cell r="P8">
            <v>1</v>
          </cell>
          <cell r="Q8">
            <v>0</v>
          </cell>
          <cell r="R8">
            <v>0</v>
          </cell>
        </row>
        <row r="9">
          <cell r="N9" t="str">
            <v>Albert</v>
          </cell>
        </row>
        <row r="10">
          <cell r="N10">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C"/>
      <sheetName val="Contents"/>
      <sheetName val="Assumptions_SC"/>
      <sheetName val="GA"/>
      <sheetName val="Scenario_Illustration_BA"/>
      <sheetName val="Depn_Illustration_BA"/>
      <sheetName val="Multiple_Ref_Cells_BA"/>
      <sheetName val="Chart_Data_BA"/>
      <sheetName val="Example_Chart_Output_BO"/>
      <sheetName val="Lookup_SC"/>
      <sheetName val="GL"/>
      <sheetName val="Checks_SC"/>
      <sheetName val="Err_Chks_BO"/>
    </sheetNames>
    <sheetDataSet>
      <sheetData sheetId="12">
        <row r="1">
          <cell r="A1" t="str">
            <v>BO</v>
          </cell>
        </row>
        <row r="9">
          <cell r="C9" t="b">
            <v>1</v>
          </cell>
        </row>
        <row r="14">
          <cell r="I14" t="str">
            <v/>
          </cell>
        </row>
        <row r="20">
          <cell r="D20" t="str">
            <v>Chart Data</v>
          </cell>
          <cell r="K20">
            <v>0</v>
          </cell>
          <cell r="L20" t="str">
            <v>Yes</v>
          </cell>
          <cell r="M20">
            <v>0</v>
          </cell>
        </row>
        <row r="22">
          <cell r="M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7" t="s">
        <v>1</v>
      </c>
    </row>
    <row r="9" ht="18">
      <c r="C9" s="2" t="s">
        <v>164</v>
      </c>
    </row>
    <row r="10" ht="15.75">
      <c r="C10" s="1" t="s">
        <v>166</v>
      </c>
    </row>
    <row r="11" spans="3:6" ht="11.25">
      <c r="C11" s="81" t="s">
        <v>2</v>
      </c>
      <c r="D11" s="81"/>
      <c r="E11" s="81"/>
      <c r="F11" s="81"/>
    </row>
    <row r="19" ht="11.25">
      <c r="C19" s="3" t="s">
        <v>149</v>
      </c>
    </row>
    <row r="21" ht="11.25">
      <c r="C21" s="3" t="s">
        <v>0</v>
      </c>
    </row>
    <row r="22" ht="11.25">
      <c r="C22" s="4" t="s">
        <v>165</v>
      </c>
    </row>
    <row r="23" ht="11.25">
      <c r="C23" s="4"/>
    </row>
    <row r="24" spans="3:9" ht="11.25">
      <c r="C24" s="4" t="s">
        <v>150</v>
      </c>
      <c r="G24" s="81" t="s">
        <v>159</v>
      </c>
      <c r="H24" s="81"/>
      <c r="I24" s="81"/>
    </row>
    <row r="25" spans="3:9" ht="11.25">
      <c r="C25" s="4" t="s">
        <v>151</v>
      </c>
      <c r="G25" s="81" t="s">
        <v>160</v>
      </c>
      <c r="H25" s="81"/>
      <c r="I25" s="81"/>
    </row>
  </sheetData>
  <mergeCells count="3">
    <mergeCell ref="G25:I25"/>
    <mergeCell ref="C11:F11"/>
    <mergeCell ref="G24:I24"/>
  </mergeCells>
  <hyperlinks>
    <hyperlink ref="G24" r:id="rId1" display="liam.bastick@sumproduct.com"/>
    <hyperlink ref="G25" r:id="rId2"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landscape" paperSize="9" r:id="rId4"/>
  <drawing r:id="rId3"/>
</worksheet>
</file>

<file path=xl/worksheets/sheet2.xml><?xml version="1.0" encoding="utf-8"?>
<worksheet xmlns="http://schemas.openxmlformats.org/spreadsheetml/2006/main" xmlns:r="http://schemas.openxmlformats.org/officeDocument/2006/relationships">
  <dimension ref="A1:Q11"/>
  <sheetViews>
    <sheetView showGridLines="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 min="18" max="16384" width="10.83203125" style="0" customWidth="1"/>
  </cols>
  <sheetData>
    <row r="1" spans="1:2" ht="18">
      <c r="A1" s="7" t="s">
        <v>7</v>
      </c>
      <c r="B1" s="11" t="s">
        <v>3</v>
      </c>
    </row>
    <row r="2" ht="15.75">
      <c r="B2" s="6" t="str">
        <f>Model_Name</f>
        <v>Depreciation</v>
      </c>
    </row>
    <row r="3" spans="2:9" ht="11.25">
      <c r="B3" s="81" t="s">
        <v>4</v>
      </c>
      <c r="C3" s="81"/>
      <c r="D3" s="81"/>
      <c r="E3" s="81"/>
      <c r="F3" s="81"/>
      <c r="G3" s="81"/>
      <c r="H3" s="81"/>
      <c r="I3" s="81"/>
    </row>
    <row r="6" spans="1:17" s="40" customFormat="1" ht="12.75">
      <c r="A6" s="39" t="s">
        <v>5</v>
      </c>
      <c r="B6" s="41" t="s">
        <v>6</v>
      </c>
      <c r="C6" s="38"/>
      <c r="D6" s="38"/>
      <c r="E6" s="38"/>
      <c r="F6" s="38"/>
      <c r="G6" s="38"/>
      <c r="H6" s="38"/>
      <c r="I6" s="38"/>
      <c r="J6" s="38"/>
      <c r="K6" s="38"/>
      <c r="L6" s="38"/>
      <c r="M6" s="38"/>
      <c r="N6" s="38"/>
      <c r="O6" s="38"/>
      <c r="P6" s="38"/>
      <c r="Q6" s="42" t="s">
        <v>147</v>
      </c>
    </row>
    <row r="7" ht="11.25">
      <c r="B7" s="8"/>
    </row>
    <row r="8" spans="6:17" s="43" customFormat="1" ht="11.25" outlineLevel="1">
      <c r="F8" s="82" t="s">
        <v>145</v>
      </c>
      <c r="G8" s="82"/>
      <c r="H8" s="83" t="str">
        <f>Depn_1_BA!B1</f>
        <v>Simple Depreciation - Straight Line Using SUM(OFFSET)</v>
      </c>
      <c r="I8" s="83"/>
      <c r="J8" s="83"/>
      <c r="K8" s="83"/>
      <c r="L8" s="83"/>
      <c r="M8" s="83"/>
      <c r="N8" s="83"/>
      <c r="O8" s="83"/>
      <c r="P8" s="83"/>
      <c r="Q8" s="44">
        <v>3</v>
      </c>
    </row>
    <row r="9" spans="6:17" s="43" customFormat="1" ht="11.25" outlineLevel="1">
      <c r="F9" s="82" t="s">
        <v>178</v>
      </c>
      <c r="G9" s="82"/>
      <c r="H9" s="83" t="str">
        <f>Depn_2_FA!B1</f>
        <v>Depreciation - Possible Solutions</v>
      </c>
      <c r="I9" s="83"/>
      <c r="J9" s="83"/>
      <c r="K9" s="83"/>
      <c r="L9" s="83"/>
      <c r="M9" s="83"/>
      <c r="N9" s="83"/>
      <c r="O9" s="83"/>
      <c r="P9" s="83"/>
      <c r="Q9" s="44">
        <v>4</v>
      </c>
    </row>
    <row r="11" spans="2:17" ht="12">
      <c r="B11" s="45" t="s">
        <v>148</v>
      </c>
      <c r="Q11" s="46">
        <v>5</v>
      </c>
    </row>
  </sheetData>
  <mergeCells count="5">
    <mergeCell ref="F9:G9"/>
    <mergeCell ref="H9:P9"/>
    <mergeCell ref="F8:G8"/>
    <mergeCell ref="H8:P8"/>
    <mergeCell ref="B3:I3"/>
  </mergeCells>
  <hyperlinks>
    <hyperlink ref="F8" location="'Depn_1_BA'!A1" tooltip="Go to Simple Depreciation - Straight Line Using SUM(OFFSET)" display="'Depn_1_BA'!A1"/>
    <hyperlink ref="H8" location="'Depn_1_BA'!A1" tooltip="Go to Simple Depreciation - Straight Line Using SUM(OFFSET)" display="'Depn_1_BA'!A1"/>
    <hyperlink ref="F9" location="'Depn_2_FA'!A1" tooltip="Go to Depreciation - Possible Solutions" display="'Depn_2_FA'!A1"/>
    <hyperlink ref="H9" location="'Depn_2_FA'!A1" tooltip="Go to Depreciation - Possible Solutions" display="'Depn_2_FA'!A1"/>
    <hyperlink ref="Q8" location="'Depn_1_BA'!A1" tooltip="Go to Simple Depreciation - Straight Line Using SUM(OFFSET)" display="'Depn_1_BA'!A1"/>
    <hyperlink ref="Q9" location="'Depn_2_FA'!A1" tooltip="Go to Depreciation - Possible Solutions" display="'Depn_2_FA'!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cols>
    <col min="1" max="5" width="3.83203125" style="17" customWidth="1"/>
    <col min="6" max="7" width="10.83203125" style="17" customWidth="1"/>
    <col min="8" max="9" width="20.83203125" style="17" customWidth="1"/>
    <col min="10" max="16384" width="10.83203125" style="17" customWidth="1"/>
  </cols>
  <sheetData>
    <row r="1" spans="1:2" ht="18">
      <c r="A1" s="37" t="s">
        <v>128</v>
      </c>
      <c r="B1" s="19" t="s">
        <v>115</v>
      </c>
    </row>
    <row r="2" ht="15.75">
      <c r="B2" s="18" t="str">
        <f>Model_Name</f>
        <v>Depreciation</v>
      </c>
    </row>
    <row r="3" spans="2:6" ht="11.25">
      <c r="B3" s="85" t="s">
        <v>2</v>
      </c>
      <c r="C3" s="85"/>
      <c r="D3" s="85"/>
      <c r="E3" s="85"/>
      <c r="F3" s="85"/>
    </row>
    <row r="4" spans="1:6" ht="12.75">
      <c r="A4" s="21" t="s">
        <v>5</v>
      </c>
      <c r="B4" s="22" t="s">
        <v>9</v>
      </c>
      <c r="C4" s="23" t="s">
        <v>10</v>
      </c>
      <c r="F4" s="24"/>
    </row>
    <row r="5" ht="11.25">
      <c r="B5" s="20"/>
    </row>
    <row r="7" ht="12.75">
      <c r="B7" s="25" t="s">
        <v>115</v>
      </c>
    </row>
    <row r="9" spans="3:8" ht="11.25">
      <c r="C9" s="26" t="s">
        <v>116</v>
      </c>
      <c r="H9" s="27" t="s">
        <v>124</v>
      </c>
    </row>
    <row r="10" spans="3:8" ht="15.75" customHeight="1">
      <c r="C10" s="26" t="s">
        <v>57</v>
      </c>
      <c r="H10" s="28">
        <v>1</v>
      </c>
    </row>
    <row r="11" spans="3:8" ht="15.75" customHeight="1" thickBot="1">
      <c r="C11" s="26" t="s">
        <v>117</v>
      </c>
      <c r="H11" s="28">
        <v>12</v>
      </c>
    </row>
    <row r="12" spans="3:8" ht="12" thickBot="1">
      <c r="C12" s="26" t="s">
        <v>118</v>
      </c>
      <c r="H12" s="29">
        <v>40179</v>
      </c>
    </row>
    <row r="13" spans="3:8" ht="11.25">
      <c r="C13" s="26" t="s">
        <v>119</v>
      </c>
      <c r="H13" s="30">
        <v>10</v>
      </c>
    </row>
    <row r="14" spans="3:8" ht="11.25">
      <c r="C14" s="26" t="s">
        <v>120</v>
      </c>
      <c r="H14" s="31"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6" t="s">
        <v>121</v>
      </c>
      <c r="H15" s="32">
        <f>EOMONTH(DATE(YEAR(Model_Start_Date)+1*(MONTH(Model_Start_Date)&gt;MATCH(Per_1_End_Mth,LU_Mths,0)),MATCH(Per_1_End_Mth,LU_Mths,0),1),0)</f>
        <v>40543</v>
      </c>
    </row>
    <row r="16" spans="3:8" ht="11.25">
      <c r="C16" s="26" t="s">
        <v>122</v>
      </c>
      <c r="H16" s="33"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6" t="s">
        <v>123</v>
      </c>
      <c r="H17" s="28">
        <v>4</v>
      </c>
    </row>
    <row r="18" ht="11.25"/>
    <row r="20" ht="11.25">
      <c r="B20" s="26" t="s">
        <v>125</v>
      </c>
    </row>
    <row r="21" spans="2:11" ht="11.25">
      <c r="B21" s="35">
        <v>1</v>
      </c>
      <c r="C21" s="84" t="s">
        <v>126</v>
      </c>
      <c r="D21" s="84"/>
      <c r="E21" s="84"/>
      <c r="F21" s="84"/>
      <c r="G21" s="84"/>
      <c r="H21" s="84"/>
      <c r="I21" s="84"/>
      <c r="J21" s="84"/>
      <c r="K21" s="84"/>
    </row>
    <row r="22" spans="3:11" ht="11.25">
      <c r="C22" s="84"/>
      <c r="D22" s="84"/>
      <c r="E22" s="84"/>
      <c r="F22" s="84"/>
      <c r="G22" s="84"/>
      <c r="H22" s="84"/>
      <c r="I22" s="84"/>
      <c r="J22" s="84"/>
      <c r="K22" s="84"/>
    </row>
    <row r="23" spans="2:11" ht="11.25">
      <c r="B23" s="35">
        <v>2</v>
      </c>
      <c r="C23" s="84" t="s">
        <v>127</v>
      </c>
      <c r="D23" s="84"/>
      <c r="E23" s="84"/>
      <c r="F23" s="84"/>
      <c r="G23" s="84"/>
      <c r="H23" s="84"/>
      <c r="I23" s="84"/>
      <c r="J23" s="84"/>
      <c r="K23" s="84"/>
    </row>
    <row r="24" spans="3:11" ht="11.25">
      <c r="C24" s="84"/>
      <c r="D24" s="84"/>
      <c r="E24" s="84"/>
      <c r="F24" s="84"/>
      <c r="G24" s="84"/>
      <c r="H24" s="84"/>
      <c r="I24" s="84"/>
      <c r="J24" s="84"/>
      <c r="K24" s="84"/>
    </row>
  </sheetData>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Lookup_SC!A1" tooltip="Go to Next Sheet" display="Lookup_SC!A1"/>
  </hyperlinks>
  <printOptions/>
  <pageMargins left="0.393700787401575" right="0.393700787401575" top="0.5905511811023625" bottom="0.9842519685039375" header="0" footer="0.3149606299212597"/>
  <pageSetup fitToHeight="1" fitToWidth="1" horizontalDpi="200" verticalDpi="200" orientation="landscape" paperSize="9" r:id="rId2"/>
  <headerFooter alignWithMargins="0">
    <oddFooter>&amp;L&amp;"Arial,Bold"&amp;7&amp;F
&amp;A
Printed: &amp;T on &amp;D&amp;C&amp;"Arial,Bold"&amp;10Page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1"/>
  <dimension ref="A1:N29"/>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cols>
    <col min="1" max="5" width="3.83203125" style="17" customWidth="1"/>
    <col min="6" max="16384" width="10.83203125" style="17" customWidth="1"/>
  </cols>
  <sheetData>
    <row r="1" spans="1:2" ht="18">
      <c r="A1" s="37" t="s">
        <v>167</v>
      </c>
      <c r="B1" s="19" t="s">
        <v>177</v>
      </c>
    </row>
    <row r="2" ht="15.75">
      <c r="B2" s="18" t="str">
        <f>Model_Name</f>
        <v>Depreciation</v>
      </c>
    </row>
    <row r="3" spans="2:6" ht="11.25">
      <c r="B3" s="85" t="s">
        <v>2</v>
      </c>
      <c r="C3" s="85"/>
      <c r="D3" s="85"/>
      <c r="E3" s="85"/>
      <c r="F3" s="85"/>
    </row>
    <row r="4" spans="1:6" ht="12.75">
      <c r="A4" s="21" t="s">
        <v>5</v>
      </c>
      <c r="B4" s="22" t="s">
        <v>9</v>
      </c>
      <c r="C4" s="23" t="s">
        <v>10</v>
      </c>
      <c r="D4" s="20"/>
      <c r="F4" s="24"/>
    </row>
    <row r="5" ht="11.25">
      <c r="B5" s="20"/>
    </row>
    <row r="7" ht="12.75">
      <c r="B7" s="48" t="str">
        <f>B1</f>
        <v>Simple Depreciation - Straight Line Using SUM(OFFSET)</v>
      </c>
    </row>
    <row r="8" ht="11.25"/>
    <row r="9" ht="12">
      <c r="C9" s="87" t="s">
        <v>168</v>
      </c>
    </row>
    <row r="10" ht="12" thickBot="1"/>
    <row r="11" spans="4:8" ht="12" thickBot="1">
      <c r="D11" s="47" t="s">
        <v>169</v>
      </c>
      <c r="H11" s="88">
        <v>3</v>
      </c>
    </row>
    <row r="12" ht="11.25"/>
    <row r="13" spans="10:14" ht="12" thickBot="1">
      <c r="J13" s="27">
        <v>2009</v>
      </c>
      <c r="K13" s="27">
        <v>2010</v>
      </c>
      <c r="L13" s="27">
        <v>2011</v>
      </c>
      <c r="M13" s="27">
        <v>2012</v>
      </c>
      <c r="N13" s="27">
        <v>2013</v>
      </c>
    </row>
    <row r="14" spans="4:14" ht="12" thickBot="1">
      <c r="D14" s="47" t="s">
        <v>170</v>
      </c>
      <c r="J14" s="76">
        <v>500</v>
      </c>
      <c r="K14" s="76">
        <v>600</v>
      </c>
      <c r="L14" s="76">
        <v>700</v>
      </c>
      <c r="M14" s="76">
        <v>800</v>
      </c>
      <c r="N14" s="76">
        <v>900</v>
      </c>
    </row>
    <row r="16" ht="11.25"/>
    <row r="17" ht="11.25">
      <c r="C17" s="47" t="s">
        <v>171</v>
      </c>
    </row>
    <row r="18" spans="10:14" ht="11.25">
      <c r="J18" s="31">
        <f>J13</f>
        <v>2009</v>
      </c>
      <c r="K18" s="31">
        <f>K13</f>
        <v>2010</v>
      </c>
      <c r="L18" s="31">
        <f>L13</f>
        <v>2011</v>
      </c>
      <c r="M18" s="31">
        <f>M13</f>
        <v>2012</v>
      </c>
      <c r="N18" s="31">
        <f>N13</f>
        <v>2013</v>
      </c>
    </row>
    <row r="19" spans="6:14" ht="11.25">
      <c r="F19" s="89" t="str">
        <f ca="1">OFFSET($I$18,,ROWS($F$19:$F19))&amp;" Capex Depreciation Profile"</f>
        <v>2009 Capex Depreciation Profile</v>
      </c>
      <c r="G19" s="90"/>
      <c r="H19" s="90"/>
      <c r="J19" s="75">
        <f>IF($H$11,MIN($J$14/$H$11,$J$14-SUM($I19:I19)),)</f>
        <v>166.66666666666666</v>
      </c>
      <c r="K19" s="75">
        <f>IF($H$11,MIN($J$14/$H$11,$J$14-SUM($I19:J19)),)</f>
        <v>166.66666666666666</v>
      </c>
      <c r="L19" s="75">
        <f>IF($H$11,MIN($J$14/$H$11,$J$14-SUM($I19:K19)),)</f>
        <v>166.66666666666666</v>
      </c>
      <c r="M19" s="75">
        <f>IF($H$11,MIN($J$14/$H$11,$J$14-SUM($I19:L19)),)</f>
        <v>0</v>
      </c>
      <c r="N19" s="75">
        <f>IF($H$11,MIN($J$14/$H$11,$J$14-SUM($I19:M19)),)</f>
        <v>0</v>
      </c>
    </row>
    <row r="20" spans="6:14" ht="11.25">
      <c r="F20" s="89" t="str">
        <f ca="1">OFFSET($I$18,,ROWS($F$19:$F20))&amp;" Capex Depreciation Profile"</f>
        <v>2010 Capex Depreciation Profile</v>
      </c>
      <c r="G20" s="90"/>
      <c r="H20" s="90"/>
      <c r="K20" s="75">
        <f>IF($H$11,MIN($K$14/$H$11,$K$14-SUM($I20:J20)),)</f>
        <v>200</v>
      </c>
      <c r="L20" s="75">
        <f>IF($H$11,MIN($K$14/$H$11,$K$14-SUM($I20:K20)),)</f>
        <v>200</v>
      </c>
      <c r="M20" s="75">
        <f>IF($H$11,MIN($K$14/$H$11,$K$14-SUM($I20:L20)),)</f>
        <v>200</v>
      </c>
      <c r="N20" s="75">
        <f>IF($H$11,MIN($K$14/$H$11,$K$14-SUM($I20:M20)),)</f>
        <v>0</v>
      </c>
    </row>
    <row r="21" spans="6:14" ht="11.25">
      <c r="F21" s="89" t="str">
        <f ca="1">OFFSET($I$18,,ROWS($F$19:$F21))&amp;" Capex Depreciation Profile"</f>
        <v>2011 Capex Depreciation Profile</v>
      </c>
      <c r="G21" s="90"/>
      <c r="H21" s="90"/>
      <c r="L21" s="75">
        <f>IF($H$11,MIN($L$14/$H$11,$L$14-SUM($I21:K21)),)</f>
        <v>233.33333333333334</v>
      </c>
      <c r="M21" s="75">
        <f>IF($H$11,MIN($L$14/$H$11,$L$14-SUM($I21:L21)),)</f>
        <v>233.33333333333334</v>
      </c>
      <c r="N21" s="75">
        <f>IF($H$11,MIN($L$14/$H$11,$L$14-SUM($I21:M21)),)</f>
        <v>233.33333333333331</v>
      </c>
    </row>
    <row r="22" spans="6:14" ht="11.25">
      <c r="F22" s="89" t="str">
        <f ca="1">OFFSET($I$18,,ROWS($F$19:$F22))&amp;" Capex Depreciation Profile"</f>
        <v>2012 Capex Depreciation Profile</v>
      </c>
      <c r="G22" s="90"/>
      <c r="H22" s="90"/>
      <c r="M22" s="75">
        <f>IF($H$11,MIN($M$14/$H$11,$M$14-SUM($I22:L22)),)</f>
        <v>266.6666666666667</v>
      </c>
      <c r="N22" s="75">
        <f>IF($H$11,MIN($M$14/$H$11,$M$14-SUM($I22:M22)),)</f>
        <v>266.6666666666667</v>
      </c>
    </row>
    <row r="23" spans="6:14" ht="11.25">
      <c r="F23" s="89" t="str">
        <f ca="1">OFFSET($I$18,,ROWS($F$19:$F23))&amp;" Capex Depreciation Profile"</f>
        <v>2013 Capex Depreciation Profile</v>
      </c>
      <c r="G23" s="90"/>
      <c r="H23" s="90"/>
      <c r="N23" s="75">
        <f>IF($H$11,MIN($N$14/$H$11,$N$14-SUM($I23:M23)),)</f>
        <v>300</v>
      </c>
    </row>
    <row r="24" spans="6:14" ht="12" thickBot="1">
      <c r="F24" s="47" t="s">
        <v>172</v>
      </c>
      <c r="J24" s="91">
        <f>SUM(J19:J23)</f>
        <v>166.66666666666666</v>
      </c>
      <c r="K24" s="91">
        <f>SUM(K19:K23)</f>
        <v>366.66666666666663</v>
      </c>
      <c r="L24" s="91">
        <f>SUM(L19:L23)</f>
        <v>600</v>
      </c>
      <c r="M24" s="91">
        <f>SUM(M19:M23)</f>
        <v>700</v>
      </c>
      <c r="N24" s="91">
        <f>SUM(N19:N23)</f>
        <v>800</v>
      </c>
    </row>
    <row r="25" ht="12" thickTop="1"/>
    <row r="26" ht="11.25"/>
    <row r="27" ht="11.25">
      <c r="C27" s="47" t="s">
        <v>173</v>
      </c>
    </row>
    <row r="28" spans="10:14" ht="11.25">
      <c r="J28" s="31">
        <f>J18</f>
        <v>2009</v>
      </c>
      <c r="K28" s="31">
        <f>K18</f>
        <v>2010</v>
      </c>
      <c r="L28" s="31">
        <f>L18</f>
        <v>2011</v>
      </c>
      <c r="M28" s="31">
        <f>M18</f>
        <v>2012</v>
      </c>
      <c r="N28" s="31">
        <f>N18</f>
        <v>2013</v>
      </c>
    </row>
    <row r="29" spans="6:14" ht="12" thickBot="1">
      <c r="F29" s="62" t="str">
        <f>F24</f>
        <v>Total Depreciation</v>
      </c>
      <c r="J29" s="92">
        <f ca="1">IF($H$11,SUM(OFFSET(J$14,,,1,-MIN($H$11,COLUMNS($J$28:J$28))))/$H$11,)</f>
        <v>166.66666666666666</v>
      </c>
      <c r="K29" s="92">
        <f ca="1">IF($H$11,SUM(OFFSET(K$14,,,1,-MIN($H$11,COLUMNS($J$28:K$28))))/$H$11,)</f>
        <v>366.6666666666667</v>
      </c>
      <c r="L29" s="92">
        <f ca="1">IF($H$11,SUM(OFFSET(L$14,,,1,-MIN($H$11,COLUMNS($J$28:L$28))))/$H$11,)</f>
        <v>600</v>
      </c>
      <c r="M29" s="92">
        <f ca="1">IF($H$11,SUM(OFFSET(M$14,,,1,-MIN($H$11,COLUMNS($J$28:M$28))))/$H$11,)</f>
        <v>700</v>
      </c>
      <c r="N29" s="92">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B3" location="HL_Home" tooltip="Go to Table of Contents" display="HL_Home"/>
    <hyperlink ref="A4" location="$B$5" tooltip="Go to Top of Sheet" display="$B$5"/>
    <hyperlink ref="B4" location="'Contents'!A1" tooltip="Go to Previous Sheet" display="'Contents'!A1"/>
    <hyperlink ref="C4" location="'Depn_2_FA'!A1" tooltip="Go to Next Sheet" display="'Depn_2_F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&amp;L&amp;F
SumProduct Pty Ltd&amp;C&amp;A
Page &amp;P&amp;R&amp;D
&amp;T</oddFooter>
  </headerFooter>
  <drawing r:id="rId1"/>
</worksheet>
</file>

<file path=xl/worksheets/sheet5.xml><?xml version="1.0" encoding="utf-8"?>
<worksheet xmlns="http://schemas.openxmlformats.org/spreadsheetml/2006/main" xmlns:r="http://schemas.openxmlformats.org/officeDocument/2006/relationships">
  <dimension ref="A1:S87"/>
  <sheetViews>
    <sheetView showGridLines="0" workbookViewId="0" topLeftCell="A1">
      <pane xSplit="1" ySplit="19" topLeftCell="B20"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outlineLevelRow="2"/>
  <cols>
    <col min="1" max="5" width="3.83203125" style="17" customWidth="1"/>
    <col min="6" max="16384" width="10.83203125" style="17" customWidth="1"/>
  </cols>
  <sheetData>
    <row r="1" spans="1:2" ht="18">
      <c r="A1" s="37" t="s">
        <v>152</v>
      </c>
      <c r="B1" s="19" t="s">
        <v>176</v>
      </c>
    </row>
    <row r="2" ht="15.75">
      <c r="B2" s="18" t="str">
        <f>Model_Name</f>
        <v>Depreciation</v>
      </c>
    </row>
    <row r="3" spans="2:6" ht="11.25">
      <c r="B3" s="85" t="s">
        <v>2</v>
      </c>
      <c r="C3" s="85"/>
      <c r="D3" s="85"/>
      <c r="E3" s="85"/>
      <c r="F3" s="85"/>
    </row>
    <row r="4" spans="1:6" ht="12.75">
      <c r="A4" s="21" t="s">
        <v>5</v>
      </c>
      <c r="B4" s="22" t="s">
        <v>9</v>
      </c>
      <c r="C4" s="23"/>
      <c r="F4" s="24"/>
    </row>
    <row r="6" spans="2:19" ht="11.25">
      <c r="B6" s="49">
        <f>IF(DD_Model_Per_Type=1,"",CHOOSE(DD_Model_Per_Type-1,Half_Yr_Name,Qtr_Name,Mth_Name)&amp;" Ending")</f>
      </c>
      <c r="J6" s="51" t="str">
        <f aca="true" t="shared" si="0" ref="J6:S6">IF(DD_Model_Per_Type=1,"",LEFT(INDEX(LU_Mths,MONTH(J14)),3)&amp;"-"&amp;RIGHT(YEAR(J14),2))&amp;" "</f>
        <v> </v>
      </c>
      <c r="K6" s="51" t="str">
        <f t="shared" si="0"/>
        <v> </v>
      </c>
      <c r="L6" s="51" t="str">
        <f t="shared" si="0"/>
        <v> </v>
      </c>
      <c r="M6" s="51" t="str">
        <f t="shared" si="0"/>
        <v> </v>
      </c>
      <c r="N6" s="51" t="str">
        <f t="shared" si="0"/>
        <v> </v>
      </c>
      <c r="O6" s="51" t="str">
        <f t="shared" si="0"/>
        <v> </v>
      </c>
      <c r="P6" s="51" t="str">
        <f t="shared" si="0"/>
        <v> </v>
      </c>
      <c r="Q6" s="51" t="str">
        <f t="shared" si="0"/>
        <v> </v>
      </c>
      <c r="R6" s="51" t="str">
        <f t="shared" si="0"/>
        <v> </v>
      </c>
      <c r="S6" s="51" t="str">
        <f t="shared" si="0"/>
        <v> </v>
      </c>
    </row>
    <row r="7" spans="2:19" ht="11.25">
      <c r="B7" s="57" t="str">
        <f>CHOOSE(DD_Model_Per_Type,Yr_Name&amp;" Ending "&amp;DAY(Per_1_End_Date)&amp;" "&amp;INDEX(LU_Mths,DD_Fin_YE_Mth),Half_Yr_Name,Qtr_Name,Mth_Name)</f>
        <v>Year Ending 31 December</v>
      </c>
      <c r="C7" s="58"/>
      <c r="D7" s="58"/>
      <c r="E7" s="58"/>
      <c r="F7" s="58"/>
      <c r="G7" s="58"/>
      <c r="H7" s="58"/>
      <c r="I7" s="58"/>
      <c r="J7" s="59" t="str">
        <f aca="true" t="shared" si="1" ref="J7:S7">IF(DD_Model_Per_Type=1,J8,J12)&amp;" "</f>
        <v>2010 </v>
      </c>
      <c r="K7" s="59" t="str">
        <f t="shared" si="1"/>
        <v>2011 </v>
      </c>
      <c r="L7" s="59" t="str">
        <f t="shared" si="1"/>
        <v>2012 </v>
      </c>
      <c r="M7" s="59" t="str">
        <f t="shared" si="1"/>
        <v>2013 </v>
      </c>
      <c r="N7" s="59" t="str">
        <f t="shared" si="1"/>
        <v>2014 </v>
      </c>
      <c r="O7" s="59" t="str">
        <f t="shared" si="1"/>
        <v>2015 </v>
      </c>
      <c r="P7" s="59" t="str">
        <f t="shared" si="1"/>
        <v>2016 </v>
      </c>
      <c r="Q7" s="59" t="str">
        <f t="shared" si="1"/>
        <v>2017 </v>
      </c>
      <c r="R7" s="59" t="str">
        <f t="shared" si="1"/>
        <v>2018 </v>
      </c>
      <c r="S7" s="59" t="str">
        <f t="shared" si="1"/>
        <v>2019 </v>
      </c>
    </row>
    <row r="8" spans="2:19" ht="11.25" hidden="1" outlineLevel="2">
      <c r="B8" s="34" t="s">
        <v>134</v>
      </c>
      <c r="J8" s="52">
        <f>YEAR(J14)</f>
        <v>2010</v>
      </c>
      <c r="K8" s="52">
        <f aca="true" t="shared" si="2" ref="K8:S8">YEAR(K14)</f>
        <v>2011</v>
      </c>
      <c r="L8" s="52">
        <f t="shared" si="2"/>
        <v>2012</v>
      </c>
      <c r="M8" s="52">
        <f t="shared" si="2"/>
        <v>2013</v>
      </c>
      <c r="N8" s="52">
        <f t="shared" si="2"/>
        <v>2014</v>
      </c>
      <c r="O8" s="52">
        <f t="shared" si="2"/>
        <v>2015</v>
      </c>
      <c r="P8" s="52">
        <f t="shared" si="2"/>
        <v>2016</v>
      </c>
      <c r="Q8" s="52">
        <f t="shared" si="2"/>
        <v>2017</v>
      </c>
      <c r="R8" s="52">
        <f t="shared" si="2"/>
        <v>2018</v>
      </c>
      <c r="S8" s="52">
        <f t="shared" si="2"/>
        <v>2019</v>
      </c>
    </row>
    <row r="9" spans="2:19" ht="11.25" hidden="1" outlineLevel="2">
      <c r="B9" s="34" t="s">
        <v>135</v>
      </c>
      <c r="J9" s="52">
        <f aca="true" t="shared" si="3" ref="J9:S9">J8+(DD_Fin_YE_Mth&lt;MONTH(J14))*1</f>
        <v>2010</v>
      </c>
      <c r="K9" s="52">
        <f t="shared" si="3"/>
        <v>2011</v>
      </c>
      <c r="L9" s="52">
        <f t="shared" si="3"/>
        <v>2012</v>
      </c>
      <c r="M9" s="52">
        <f t="shared" si="3"/>
        <v>2013</v>
      </c>
      <c r="N9" s="52">
        <f t="shared" si="3"/>
        <v>2014</v>
      </c>
      <c r="O9" s="52">
        <f t="shared" si="3"/>
        <v>2015</v>
      </c>
      <c r="P9" s="52">
        <f t="shared" si="3"/>
        <v>2016</v>
      </c>
      <c r="Q9" s="52">
        <f t="shared" si="3"/>
        <v>2017</v>
      </c>
      <c r="R9" s="52">
        <f t="shared" si="3"/>
        <v>2018</v>
      </c>
      <c r="S9" s="52">
        <f t="shared" si="3"/>
        <v>2019</v>
      </c>
    </row>
    <row r="10" spans="2:19" ht="11.25" hidden="1" outlineLevel="2">
      <c r="B10" s="34" t="s">
        <v>136</v>
      </c>
      <c r="J10" s="55">
        <f>DATE(J8,Mths_In_Yr,31)-EDATE(DATE(J8,Mths_In_Yr,31),-Mths_In_Yr)</f>
        <v>365</v>
      </c>
      <c r="K10" s="55">
        <f>DATE(K8,Mths_In_Yr,31)-EDATE(DATE(K8,Mths_In_Yr,31),-Mths_In_Yr)</f>
        <v>365</v>
      </c>
      <c r="L10" s="55">
        <f>DATE(L8,Mths_In_Yr,31)-EDATE(DATE(L8,Mths_In_Yr,31),-Mths_In_Yr)</f>
        <v>366</v>
      </c>
      <c r="M10" s="55">
        <f>DATE(M8,Mths_In_Yr,31)-EDATE(DATE(M8,Mths_In_Yr,31),-Mths_In_Yr)</f>
        <v>365</v>
      </c>
      <c r="N10" s="55">
        <f>DATE(N8,Mths_In_Yr,31)-EDATE(DATE(N8,Mths_In_Yr,31),-Mths_In_Yr)</f>
        <v>365</v>
      </c>
      <c r="O10" s="55">
        <f>DATE(O8,Mths_In_Yr,31)-EDATE(DATE(O8,Mths_In_Yr,31),-Mths_In_Yr)</f>
        <v>365</v>
      </c>
      <c r="P10" s="55">
        <f>DATE(P8,Mths_In_Yr,31)-EDATE(DATE(P8,Mths_In_Yr,31),-Mths_In_Yr)</f>
        <v>366</v>
      </c>
      <c r="Q10" s="55">
        <f>DATE(Q8,Mths_In_Yr,31)-EDATE(DATE(Q8,Mths_In_Yr,31),-Mths_In_Yr)</f>
        <v>365</v>
      </c>
      <c r="R10" s="55">
        <f>DATE(R8,Mths_In_Yr,31)-EDATE(DATE(R8,Mths_In_Yr,31),-Mths_In_Yr)</f>
        <v>365</v>
      </c>
      <c r="S10" s="55">
        <f>DATE(S8,Mths_In_Yr,31)-EDATE(DATE(S8,Mths_In_Yr,31),-Mths_In_Yr)</f>
        <v>365</v>
      </c>
    </row>
    <row r="11" spans="2:19" ht="11.25" hidden="1" outlineLevel="2">
      <c r="B11" s="34" t="s">
        <v>137</v>
      </c>
      <c r="J11" s="56">
        <f>EOMONTH(DATE(J9,DD_Fin_YE_Mth,1),0)-EOMONTH(EDATE(EOMONTH(DATE(J9,DD_Fin_YE_Mth,1),0),-Mths_In_Yr),0)</f>
        <v>365</v>
      </c>
      <c r="K11" s="56">
        <f>EOMONTH(DATE(K9,DD_Fin_YE_Mth,1),0)-EOMONTH(EDATE(EOMONTH(DATE(K9,DD_Fin_YE_Mth,1),0),-Mths_In_Yr),0)</f>
        <v>365</v>
      </c>
      <c r="L11" s="56">
        <f>EOMONTH(DATE(L9,DD_Fin_YE_Mth,1),0)-EOMONTH(EDATE(EOMONTH(DATE(L9,DD_Fin_YE_Mth,1),0),-Mths_In_Yr),0)</f>
        <v>366</v>
      </c>
      <c r="M11" s="56">
        <f>EOMONTH(DATE(M9,DD_Fin_YE_Mth,1),0)-EOMONTH(EDATE(EOMONTH(DATE(M9,DD_Fin_YE_Mth,1),0),-Mths_In_Yr),0)</f>
        <v>365</v>
      </c>
      <c r="N11" s="56">
        <f>EOMONTH(DATE(N9,DD_Fin_YE_Mth,1),0)-EOMONTH(EDATE(EOMONTH(DATE(N9,DD_Fin_YE_Mth,1),0),-Mths_In_Yr),0)</f>
        <v>365</v>
      </c>
      <c r="O11" s="56">
        <f>EOMONTH(DATE(O9,DD_Fin_YE_Mth,1),0)-EOMONTH(EDATE(EOMONTH(DATE(O9,DD_Fin_YE_Mth,1),0),-Mths_In_Yr),0)</f>
        <v>365</v>
      </c>
      <c r="P11" s="56">
        <f>EOMONTH(DATE(P9,DD_Fin_YE_Mth,1),0)-EOMONTH(EDATE(EOMONTH(DATE(P9,DD_Fin_YE_Mth,1),0),-Mths_In_Yr),0)</f>
        <v>366</v>
      </c>
      <c r="Q11" s="56">
        <f>EOMONTH(DATE(Q9,DD_Fin_YE_Mth,1),0)-EOMONTH(EDATE(EOMONTH(DATE(Q9,DD_Fin_YE_Mth,1),0),-Mths_In_Yr),0)</f>
        <v>365</v>
      </c>
      <c r="R11" s="56">
        <f>EOMONTH(DATE(R9,DD_Fin_YE_Mth,1),0)-EOMONTH(EDATE(EOMONTH(DATE(R9,DD_Fin_YE_Mth,1),0),-Mths_In_Yr),0)</f>
        <v>365</v>
      </c>
      <c r="S11" s="56">
        <f>EOMONTH(DATE(S9,DD_Fin_YE_Mth,1),0)-EOMONTH(EDATE(EOMONTH(DATE(S9,DD_Fin_YE_Mth,1),0),-Mths_In_Yr),0)</f>
        <v>365</v>
      </c>
    </row>
    <row r="12" spans="2:19" ht="11.25" hidden="1" outlineLevel="2">
      <c r="B12" s="34" t="s">
        <v>138</v>
      </c>
      <c r="J12" s="53" t="str">
        <f aca="true" t="shared" si="4" ref="J12:S12">IF(J13=Model_Start_Date,Per_1_Title,CHOOSE(DD_Model_Per_Type,Yr_Name,IF(I12=Half_1,Half_2,Half_1),IF(I12=Qtr_4,Qtr_1,INDEX(LU_Qtrs,MATCH(I12,LU_Qtrs)+1)),"M"&amp;MONTH(J14)-DD_Fin_YE_Mth+(DD_Fin_YE_Mth&gt;=MONTH(J14))*Mths_In_Yr))</f>
        <v>Year</v>
      </c>
      <c r="K12" s="53" t="str">
        <f t="shared" si="4"/>
        <v>Year</v>
      </c>
      <c r="L12" s="53" t="str">
        <f t="shared" si="4"/>
        <v>Year</v>
      </c>
      <c r="M12" s="53" t="str">
        <f t="shared" si="4"/>
        <v>Year</v>
      </c>
      <c r="N12" s="53" t="str">
        <f t="shared" si="4"/>
        <v>Year</v>
      </c>
      <c r="O12" s="53" t="str">
        <f t="shared" si="4"/>
        <v>Year</v>
      </c>
      <c r="P12" s="53" t="str">
        <f t="shared" si="4"/>
        <v>Year</v>
      </c>
      <c r="Q12" s="53" t="str">
        <f t="shared" si="4"/>
        <v>Year</v>
      </c>
      <c r="R12" s="53" t="str">
        <f t="shared" si="4"/>
        <v>Year</v>
      </c>
      <c r="S12" s="53" t="str">
        <f t="shared" si="4"/>
        <v>Year</v>
      </c>
    </row>
    <row r="13" spans="2:19" ht="11.25" hidden="1" outlineLevel="2">
      <c r="B13" s="34" t="s">
        <v>139</v>
      </c>
      <c r="J13" s="54">
        <f aca="true" t="shared" si="5" ref="J13:S13">IF(ISBLANK(I14),Model_Start_Date,I14+1)</f>
        <v>40179</v>
      </c>
      <c r="K13" s="54">
        <f t="shared" si="5"/>
        <v>40544</v>
      </c>
      <c r="L13" s="54">
        <f t="shared" si="5"/>
        <v>40909</v>
      </c>
      <c r="M13" s="54">
        <f t="shared" si="5"/>
        <v>41275</v>
      </c>
      <c r="N13" s="54">
        <f t="shared" si="5"/>
        <v>41640</v>
      </c>
      <c r="O13" s="54">
        <f t="shared" si="5"/>
        <v>42005</v>
      </c>
      <c r="P13" s="54">
        <f t="shared" si="5"/>
        <v>42370</v>
      </c>
      <c r="Q13" s="54">
        <f t="shared" si="5"/>
        <v>42736</v>
      </c>
      <c r="R13" s="54">
        <f t="shared" si="5"/>
        <v>43101</v>
      </c>
      <c r="S13" s="54">
        <f t="shared" si="5"/>
        <v>43466</v>
      </c>
    </row>
    <row r="14" spans="2:19" ht="11.25" hidden="1" outlineLevel="2">
      <c r="B14" s="34" t="s">
        <v>140</v>
      </c>
      <c r="J14" s="54">
        <f>IF(J13=Model_Start_Date,Per_1_End_Date,EOMONTH(EDATE(I14,J15),0))</f>
        <v>40543</v>
      </c>
      <c r="K14" s="54">
        <f>IF(K13=Model_Start_Date,Per_1_End_Date,EOMONTH(EDATE(J14,K15),0))</f>
        <v>40908</v>
      </c>
      <c r="L14" s="54">
        <f>IF(L13=Model_Start_Date,Per_1_End_Date,EOMONTH(EDATE(K14,L15),0))</f>
        <v>41274</v>
      </c>
      <c r="M14" s="54">
        <f>IF(M13=Model_Start_Date,Per_1_End_Date,EOMONTH(EDATE(L14,M15),0))</f>
        <v>41639</v>
      </c>
      <c r="N14" s="54">
        <f>IF(N13=Model_Start_Date,Per_1_End_Date,EOMONTH(EDATE(M14,N15),0))</f>
        <v>42004</v>
      </c>
      <c r="O14" s="54">
        <f>IF(O13=Model_Start_Date,Per_1_End_Date,EOMONTH(EDATE(N14,O15),0))</f>
        <v>42369</v>
      </c>
      <c r="P14" s="54">
        <f>IF(P13=Model_Start_Date,Per_1_End_Date,EOMONTH(EDATE(O14,P15),0))</f>
        <v>42735</v>
      </c>
      <c r="Q14" s="54">
        <f>IF(Q13=Model_Start_Date,Per_1_End_Date,EOMONTH(EDATE(P14,Q15),0))</f>
        <v>43100</v>
      </c>
      <c r="R14" s="54">
        <f>IF(R13=Model_Start_Date,Per_1_End_Date,EOMONTH(EDATE(Q14,R15),0))</f>
        <v>43465</v>
      </c>
      <c r="S14" s="54">
        <f>IF(S13=Model_Start_Date,Per_1_End_Date,EOMONTH(EDATE(R14,S15),0))</f>
        <v>43830</v>
      </c>
    </row>
    <row r="15" spans="2:19" ht="11.25" hidden="1" outlineLevel="2">
      <c r="B15" s="50" t="str">
        <f>Mth_Name&amp;"s in "&amp;CHOOSE(DD_Model_Per_Type,"Financial "&amp;Yr_Name,Half_Yr_Name,Qtr_Name,Mth_Name)</f>
        <v>Months in Financial Year</v>
      </c>
      <c r="J15" s="56">
        <f aca="true" t="shared" si="6" ref="J15:S15">CHOOSE(DD_Model_Per_Type,Mths_In_Yr,Mths_In_Half_Yr,Mths_In_Qtr,1)</f>
        <v>12</v>
      </c>
      <c r="K15" s="56">
        <f t="shared" si="6"/>
        <v>12</v>
      </c>
      <c r="L15" s="56">
        <f t="shared" si="6"/>
        <v>12</v>
      </c>
      <c r="M15" s="56">
        <f t="shared" si="6"/>
        <v>12</v>
      </c>
      <c r="N15" s="56">
        <f t="shared" si="6"/>
        <v>12</v>
      </c>
      <c r="O15" s="56">
        <f t="shared" si="6"/>
        <v>12</v>
      </c>
      <c r="P15" s="56">
        <f t="shared" si="6"/>
        <v>12</v>
      </c>
      <c r="Q15" s="56">
        <f t="shared" si="6"/>
        <v>12</v>
      </c>
      <c r="R15" s="56">
        <f t="shared" si="6"/>
        <v>12</v>
      </c>
      <c r="S15" s="56">
        <f t="shared" si="6"/>
        <v>12</v>
      </c>
    </row>
    <row r="16" spans="2:19" ht="11.25" hidden="1" outlineLevel="2">
      <c r="B16" s="34" t="s">
        <v>141</v>
      </c>
      <c r="J16" s="56">
        <f>(J14+1)-J13</f>
        <v>365</v>
      </c>
      <c r="K16" s="56">
        <f aca="true" t="shared" si="7" ref="K16:S16">(K14+1)-K13</f>
        <v>365</v>
      </c>
      <c r="L16" s="56">
        <f t="shared" si="7"/>
        <v>366</v>
      </c>
      <c r="M16" s="56">
        <f t="shared" si="7"/>
        <v>365</v>
      </c>
      <c r="N16" s="56">
        <f t="shared" si="7"/>
        <v>365</v>
      </c>
      <c r="O16" s="56">
        <f t="shared" si="7"/>
        <v>365</v>
      </c>
      <c r="P16" s="56">
        <f t="shared" si="7"/>
        <v>366</v>
      </c>
      <c r="Q16" s="56">
        <f t="shared" si="7"/>
        <v>365</v>
      </c>
      <c r="R16" s="56">
        <f t="shared" si="7"/>
        <v>365</v>
      </c>
      <c r="S16" s="56">
        <f t="shared" si="7"/>
        <v>365</v>
      </c>
    </row>
    <row r="17" spans="2:19" ht="11.25" hidden="1" outlineLevel="2">
      <c r="B17" s="50" t="str">
        <f>"Days in "&amp;CHOOSE(DD_Model_Per_Type,"Financial "&amp;Yr_Name,Half_Yr_Name,Qtr_Name,Mth_Name)</f>
        <v>Days in Financial Year</v>
      </c>
      <c r="J17" s="56">
        <f>IF(J13=Model_Start_Date,J14-EOMONTH(EDATE(J14,-J15),0),J16)</f>
        <v>365</v>
      </c>
      <c r="K17" s="56">
        <f>IF(K13=Model_Start_Date,K14-EOMONTH(EDATE(K14,-K15),0),K16)</f>
        <v>365</v>
      </c>
      <c r="L17" s="56">
        <f>IF(L13=Model_Start_Date,L14-EOMONTH(EDATE(L14,-L15),0),L16)</f>
        <v>366</v>
      </c>
      <c r="M17" s="56">
        <f>IF(M13=Model_Start_Date,M14-EOMONTH(EDATE(M14,-M15),0),M16)</f>
        <v>365</v>
      </c>
      <c r="N17" s="56">
        <f>IF(N13=Model_Start_Date,N14-EOMONTH(EDATE(N14,-N15),0),N16)</f>
        <v>365</v>
      </c>
      <c r="O17" s="56">
        <f>IF(O13=Model_Start_Date,O14-EOMONTH(EDATE(O14,-O15),0),O16)</f>
        <v>365</v>
      </c>
      <c r="P17" s="56">
        <f>IF(P13=Model_Start_Date,P14-EOMONTH(EDATE(P14,-P15),0),P16)</f>
        <v>366</v>
      </c>
      <c r="Q17" s="56">
        <f>IF(Q13=Model_Start_Date,Q14-EOMONTH(EDATE(Q14,-Q15),0),Q16)</f>
        <v>365</v>
      </c>
      <c r="R17" s="56">
        <f>IF(R13=Model_Start_Date,R14-EOMONTH(EDATE(R14,-R15),0),R16)</f>
        <v>365</v>
      </c>
      <c r="S17" s="56">
        <f>IF(S13=Model_Start_Date,S14-EOMONTH(EDATE(S14,-S15),0),S16)</f>
        <v>365</v>
      </c>
    </row>
    <row r="18" spans="2:19" ht="11.25" hidden="1" outlineLevel="2" collapsed="1">
      <c r="B18" s="34" t="s">
        <v>142</v>
      </c>
      <c r="J18" s="56">
        <f aca="true" t="shared" si="8" ref="J18:S18">IF(J13=Model_Start_Date,1,I18+1)</f>
        <v>1</v>
      </c>
      <c r="K18" s="56">
        <f t="shared" si="8"/>
        <v>2</v>
      </c>
      <c r="L18" s="56">
        <f t="shared" si="8"/>
        <v>3</v>
      </c>
      <c r="M18" s="56">
        <f t="shared" si="8"/>
        <v>4</v>
      </c>
      <c r="N18" s="56">
        <f t="shared" si="8"/>
        <v>5</v>
      </c>
      <c r="O18" s="56">
        <f t="shared" si="8"/>
        <v>6</v>
      </c>
      <c r="P18" s="56">
        <f t="shared" si="8"/>
        <v>7</v>
      </c>
      <c r="Q18" s="56">
        <f t="shared" si="8"/>
        <v>8</v>
      </c>
      <c r="R18" s="56">
        <f t="shared" si="8"/>
        <v>9</v>
      </c>
      <c r="S18" s="56">
        <f t="shared" si="8"/>
        <v>10</v>
      </c>
    </row>
    <row r="19" spans="2:19" ht="11.25" hidden="1" outlineLevel="2">
      <c r="B19" s="60" t="s">
        <v>143</v>
      </c>
      <c r="C19" s="58"/>
      <c r="D19" s="58"/>
      <c r="E19" s="58"/>
      <c r="F19" s="58"/>
      <c r="G19" s="58"/>
      <c r="H19" s="58"/>
      <c r="I19" s="58"/>
      <c r="J19" s="61">
        <v>0</v>
      </c>
      <c r="K19" s="61">
        <v>0</v>
      </c>
      <c r="L19" s="61">
        <v>0</v>
      </c>
      <c r="M19" s="61">
        <v>0</v>
      </c>
      <c r="N19" s="61">
        <v>0</v>
      </c>
      <c r="O19" s="61">
        <v>0</v>
      </c>
      <c r="P19" s="61">
        <v>0</v>
      </c>
      <c r="Q19" s="61">
        <v>0</v>
      </c>
      <c r="R19" s="61">
        <v>0</v>
      </c>
      <c r="S19" s="61">
        <v>0</v>
      </c>
    </row>
    <row r="20" ht="11.25" collapsed="1">
      <c r="B20" s="20"/>
    </row>
    <row r="22" ht="12.75">
      <c r="B22" s="48" t="str">
        <f>B1</f>
        <v>Depreciation - Possible Solutions</v>
      </c>
    </row>
    <row r="24" spans="4:16" ht="11.25">
      <c r="D24" s="86" t="s">
        <v>174</v>
      </c>
      <c r="E24" s="86"/>
      <c r="F24" s="86"/>
      <c r="G24" s="86"/>
      <c r="H24" s="86"/>
      <c r="I24" s="86"/>
      <c r="J24" s="86"/>
      <c r="K24" s="86"/>
      <c r="L24" s="86"/>
      <c r="M24" s="86"/>
      <c r="N24" s="86"/>
      <c r="O24" s="86"/>
      <c r="P24" s="86"/>
    </row>
    <row r="25" spans="4:16" ht="11.25">
      <c r="D25" s="86"/>
      <c r="E25" s="86"/>
      <c r="F25" s="86"/>
      <c r="G25" s="86"/>
      <c r="H25" s="86"/>
      <c r="I25" s="86"/>
      <c r="J25" s="86"/>
      <c r="K25" s="86"/>
      <c r="L25" s="86"/>
      <c r="M25" s="86"/>
      <c r="N25" s="86"/>
      <c r="O25" s="86"/>
      <c r="P25" s="86"/>
    </row>
    <row r="26" ht="12" thickBot="1"/>
    <row r="27" spans="4:9" ht="12" thickBot="1">
      <c r="D27" s="63" t="str">
        <f>"Opening Non-Current Assets ("&amp;INDEX(LU_Denom,DD_Denom)&amp;")"</f>
        <v>Opening Non-Current Assets ($)</v>
      </c>
      <c r="I27" s="64">
        <v>750</v>
      </c>
    </row>
    <row r="28" spans="5:9" ht="15.75" customHeight="1" thickBot="1">
      <c r="E28" s="65" t="str">
        <f>"Useful Economic Life ("&amp;LOWER(INDEX(LU_Per_Names,DD_Model_Per_Type))&amp;"s)"</f>
        <v>Useful Economic Life (years)</v>
      </c>
      <c r="I28" s="76">
        <v>4.7</v>
      </c>
    </row>
    <row r="29" ht="12" collapsed="1" thickBot="1"/>
    <row r="30" spans="4:19" ht="12" thickBot="1">
      <c r="D30" s="63" t="str">
        <f>"New Capital Expenditure ("&amp;INDEX(LU_Denom,DD_Denom)&amp;")"</f>
        <v>New Capital Expenditure ($)</v>
      </c>
      <c r="J30" s="64">
        <v>100</v>
      </c>
      <c r="K30" s="64">
        <v>150</v>
      </c>
      <c r="L30" s="64">
        <v>175</v>
      </c>
      <c r="M30" s="64">
        <v>220</v>
      </c>
      <c r="N30" s="64">
        <v>130</v>
      </c>
      <c r="O30" s="64">
        <v>740</v>
      </c>
      <c r="P30" s="64">
        <v>410</v>
      </c>
      <c r="Q30" s="64">
        <v>165</v>
      </c>
      <c r="R30" s="64">
        <v>55</v>
      </c>
      <c r="S30" s="64">
        <v>80</v>
      </c>
    </row>
    <row r="31" spans="5:9" ht="15.75" customHeight="1" thickBot="1">
      <c r="E31" s="65" t="str">
        <f>"Useful Economic Life ("&amp;LOWER(INDEX(LU_Per_Names,DD_Model_Per_Type))&amp;"s)"</f>
        <v>Useful Economic Life (years)</v>
      </c>
      <c r="I31" s="76">
        <v>2.9</v>
      </c>
    </row>
    <row r="34" ht="12.75">
      <c r="B34" s="69" t="s">
        <v>156</v>
      </c>
    </row>
    <row r="36" spans="4:19" ht="11.25">
      <c r="D36" s="63" t="str">
        <f>"Opening Non-Current Assets ("&amp;INDEX(LU_Denom,DD_Denom)&amp;")"</f>
        <v>Opening Non-Current Assets ($)</v>
      </c>
      <c r="J36" s="70">
        <f aca="true" t="shared" si="9" ref="J36:S36">IF(J$18=1,Opening_NCA,I39)</f>
        <v>750</v>
      </c>
      <c r="K36" s="70">
        <f t="shared" si="9"/>
        <v>655.942773294204</v>
      </c>
      <c r="L36" s="70">
        <f t="shared" si="9"/>
        <v>560.1614086573735</v>
      </c>
      <c r="M36" s="70">
        <f t="shared" si="9"/>
        <v>432.483492296405</v>
      </c>
      <c r="N36" s="70">
        <f t="shared" si="9"/>
        <v>310.1504035216435</v>
      </c>
      <c r="O36" s="70">
        <f t="shared" si="9"/>
        <v>153.448275862069</v>
      </c>
      <c r="P36" s="70">
        <f t="shared" si="9"/>
        <v>525.1724137931035</v>
      </c>
      <c r="Q36" s="70">
        <f t="shared" si="9"/>
        <v>498.2758620689656</v>
      </c>
      <c r="R36" s="70">
        <f t="shared" si="9"/>
        <v>235.34482758620697</v>
      </c>
      <c r="S36" s="70">
        <f t="shared" si="9"/>
        <v>87.24137931034494</v>
      </c>
    </row>
    <row r="37" spans="4:19" ht="11.25">
      <c r="D37" s="62" t="str">
        <f>D30</f>
        <v>New Capital Expenditure ($)</v>
      </c>
      <c r="J37" s="70">
        <f>J30</f>
        <v>100</v>
      </c>
      <c r="K37" s="70">
        <f aca="true" t="shared" si="10" ref="K37:S37">K30</f>
        <v>150</v>
      </c>
      <c r="L37" s="70">
        <f t="shared" si="10"/>
        <v>175</v>
      </c>
      <c r="M37" s="70">
        <f t="shared" si="10"/>
        <v>220</v>
      </c>
      <c r="N37" s="70">
        <f t="shared" si="10"/>
        <v>130</v>
      </c>
      <c r="O37" s="70">
        <f t="shared" si="10"/>
        <v>740</v>
      </c>
      <c r="P37" s="70">
        <f t="shared" si="10"/>
        <v>410</v>
      </c>
      <c r="Q37" s="70">
        <f t="shared" si="10"/>
        <v>165</v>
      </c>
      <c r="R37" s="70">
        <f t="shared" si="10"/>
        <v>55</v>
      </c>
      <c r="S37" s="70">
        <f t="shared" si="10"/>
        <v>80</v>
      </c>
    </row>
    <row r="38" spans="4:19" ht="11.25">
      <c r="D38" s="63" t="str">
        <f>"Depreciation Charge ("&amp;INDEX(LU_Denom,DD_Denom)&amp;")"</f>
        <v>Depreciation Charge ($)</v>
      </c>
      <c r="J38" s="71">
        <f>-J61</f>
        <v>-194.05722670579604</v>
      </c>
      <c r="K38" s="71">
        <f aca="true" t="shared" si="11" ref="K38:S38">-K61</f>
        <v>-245.78136463683052</v>
      </c>
      <c r="L38" s="71">
        <f t="shared" si="11"/>
        <v>-302.6779163609685</v>
      </c>
      <c r="M38" s="71">
        <f t="shared" si="11"/>
        <v>-342.33308877476156</v>
      </c>
      <c r="N38" s="71">
        <f t="shared" si="11"/>
        <v>-286.7021276595745</v>
      </c>
      <c r="O38" s="71">
        <f t="shared" si="11"/>
        <v>-368.2758620689655</v>
      </c>
      <c r="P38" s="71">
        <f t="shared" si="11"/>
        <v>-436.8965517241379</v>
      </c>
      <c r="Q38" s="71">
        <f t="shared" si="11"/>
        <v>-427.9310344827586</v>
      </c>
      <c r="R38" s="71">
        <f t="shared" si="11"/>
        <v>-203.10344827586204</v>
      </c>
      <c r="S38" s="71">
        <f t="shared" si="11"/>
        <v>-97.75862068965517</v>
      </c>
    </row>
    <row r="39" spans="4:19" ht="11.25">
      <c r="D39" s="63" t="str">
        <f>"Closing Non-Current Assets ("&amp;INDEX(LU_Denom,DD_Denom)&amp;")"</f>
        <v>Closing Non-Current Assets ($)</v>
      </c>
      <c r="J39" s="70">
        <f>SUM(J36:J38)</f>
        <v>655.942773294204</v>
      </c>
      <c r="K39" s="70">
        <f aca="true" t="shared" si="12" ref="K39:S39">SUM(K36:K38)</f>
        <v>560.1614086573735</v>
      </c>
      <c r="L39" s="70">
        <f t="shared" si="12"/>
        <v>432.483492296405</v>
      </c>
      <c r="M39" s="70">
        <f t="shared" si="12"/>
        <v>310.1504035216435</v>
      </c>
      <c r="N39" s="70">
        <f t="shared" si="12"/>
        <v>153.448275862069</v>
      </c>
      <c r="O39" s="70">
        <f t="shared" si="12"/>
        <v>525.1724137931035</v>
      </c>
      <c r="P39" s="70">
        <f t="shared" si="12"/>
        <v>498.2758620689656</v>
      </c>
      <c r="Q39" s="70">
        <f t="shared" si="12"/>
        <v>235.34482758620697</v>
      </c>
      <c r="R39" s="70">
        <f t="shared" si="12"/>
        <v>87.24137931034494</v>
      </c>
      <c r="S39" s="70">
        <f t="shared" si="12"/>
        <v>69.48275862068976</v>
      </c>
    </row>
    <row r="42" ht="12.75">
      <c r="B42" s="69" t="s">
        <v>162</v>
      </c>
    </row>
    <row r="44" spans="4:19" ht="11.25">
      <c r="D44" s="47" t="s">
        <v>157</v>
      </c>
      <c r="J44" s="72">
        <f>IF(DD_Opening_NCA_Economic_Life&lt;=0,0,MIN(1/DD_Opening_NCA_Economic_Life,1-SUM($I$44:I44)))</f>
        <v>0.2127659574468085</v>
      </c>
      <c r="K44" s="72">
        <f>IF(DD_Opening_NCA_Economic_Life&lt;=0,0,MIN(1/DD_Opening_NCA_Economic_Life,1-SUM($I$44:J44)))</f>
        <v>0.2127659574468085</v>
      </c>
      <c r="L44" s="72">
        <f>IF(DD_Opening_NCA_Economic_Life&lt;=0,0,MIN(1/DD_Opening_NCA_Economic_Life,1-SUM($I$44:K44)))</f>
        <v>0.2127659574468085</v>
      </c>
      <c r="M44" s="72">
        <f>IF(DD_Opening_NCA_Economic_Life&lt;=0,0,MIN(1/DD_Opening_NCA_Economic_Life,1-SUM($I$44:L44)))</f>
        <v>0.2127659574468085</v>
      </c>
      <c r="N44" s="72">
        <f>IF(DD_Opening_NCA_Economic_Life&lt;=0,0,MIN(1/DD_Opening_NCA_Economic_Life,1-SUM($I$44:M44)))</f>
        <v>0.14893617021276595</v>
      </c>
      <c r="O44" s="72">
        <f>IF(DD_Opening_NCA_Economic_Life&lt;=0,0,MIN(1/DD_Opening_NCA_Economic_Life,1-SUM($I$44:N44)))</f>
        <v>0</v>
      </c>
      <c r="P44" s="72">
        <f>IF(DD_Opening_NCA_Economic_Life&lt;=0,0,MIN(1/DD_Opening_NCA_Economic_Life,1-SUM($I$44:O44)))</f>
        <v>0</v>
      </c>
      <c r="Q44" s="72">
        <f>IF(DD_Opening_NCA_Economic_Life&lt;=0,0,MIN(1/DD_Opening_NCA_Economic_Life,1-SUM($I$44:P44)))</f>
        <v>0</v>
      </c>
      <c r="R44" s="72">
        <f>IF(DD_Opening_NCA_Economic_Life&lt;=0,0,MIN(1/DD_Opening_NCA_Economic_Life,1-SUM($I$44:Q44)))</f>
        <v>0</v>
      </c>
      <c r="S44" s="72">
        <f>IF(DD_Opening_NCA_Economic_Life&lt;=0,0,MIN(1/DD_Opening_NCA_Economic_Life,1-SUM($I$44:R44)))</f>
        <v>0</v>
      </c>
    </row>
    <row r="45" spans="4:19" ht="11.25" collapsed="1">
      <c r="D45" s="47" t="s">
        <v>158</v>
      </c>
      <c r="J45" s="72">
        <f>IF(DD_New_Capex_Economic_Life&lt;=0,0,MIN(1/DD_New_Capex_Economic_Life,1-SUM($I$45:I45)))</f>
        <v>0.3448275862068966</v>
      </c>
      <c r="K45" s="72">
        <f>IF(DD_New_Capex_Economic_Life&lt;=0,0,MIN(1/DD_New_Capex_Economic_Life,1-SUM($I$45:J45)))</f>
        <v>0.3448275862068966</v>
      </c>
      <c r="L45" s="72">
        <f>IF(DD_New_Capex_Economic_Life&lt;=0,0,MIN(1/DD_New_Capex_Economic_Life,1-SUM($I$45:K45)))</f>
        <v>0.31034482758620685</v>
      </c>
      <c r="M45" s="72">
        <f>IF(DD_New_Capex_Economic_Life&lt;=0,0,MIN(1/DD_New_Capex_Economic_Life,1-SUM($I$45:L45)))</f>
        <v>0</v>
      </c>
      <c r="N45" s="72">
        <f>IF(DD_New_Capex_Economic_Life&lt;=0,0,MIN(1/DD_New_Capex_Economic_Life,1-SUM($I$45:M45)))</f>
        <v>0</v>
      </c>
      <c r="O45" s="72">
        <f>IF(DD_New_Capex_Economic_Life&lt;=0,0,MIN(1/DD_New_Capex_Economic_Life,1-SUM($I$45:N45)))</f>
        <v>0</v>
      </c>
      <c r="P45" s="72">
        <f>IF(DD_New_Capex_Economic_Life&lt;=0,0,MIN(1/DD_New_Capex_Economic_Life,1-SUM($I$45:O45)))</f>
        <v>0</v>
      </c>
      <c r="Q45" s="72">
        <f>IF(DD_New_Capex_Economic_Life&lt;=0,0,MIN(1/DD_New_Capex_Economic_Life,1-SUM($I$45:P45)))</f>
        <v>0</v>
      </c>
      <c r="R45" s="72">
        <f>IF(DD_New_Capex_Economic_Life&lt;=0,0,MIN(1/DD_New_Capex_Economic_Life,1-SUM($I$45:Q45)))</f>
        <v>0</v>
      </c>
      <c r="S45" s="72">
        <f>IF(DD_New_Capex_Economic_Life&lt;=0,0,MIN(1/DD_New_Capex_Economic_Life,1-SUM($I$45:R45)))</f>
        <v>0</v>
      </c>
    </row>
    <row r="48" ht="12.75">
      <c r="B48" s="69" t="s">
        <v>161</v>
      </c>
    </row>
    <row r="50" spans="4:19" ht="11.25">
      <c r="D50" s="73" t="str">
        <f>D27</f>
        <v>Opening Non-Current Assets ($)</v>
      </c>
      <c r="I50" s="74">
        <f>Opening_NCA</f>
        <v>750</v>
      </c>
      <c r="J50" s="75">
        <f>$I50*J$44</f>
        <v>159.5744680851064</v>
      </c>
      <c r="K50" s="75">
        <f aca="true" t="shared" si="13" ref="K50:S50">$I50*K$44</f>
        <v>159.5744680851064</v>
      </c>
      <c r="L50" s="75">
        <f t="shared" si="13"/>
        <v>159.5744680851064</v>
      </c>
      <c r="M50" s="75">
        <f t="shared" si="13"/>
        <v>159.5744680851064</v>
      </c>
      <c r="N50" s="75">
        <f t="shared" si="13"/>
        <v>111.70212765957446</v>
      </c>
      <c r="O50" s="75">
        <f t="shared" si="13"/>
        <v>0</v>
      </c>
      <c r="P50" s="75">
        <f t="shared" si="13"/>
        <v>0</v>
      </c>
      <c r="Q50" s="75">
        <f t="shared" si="13"/>
        <v>0</v>
      </c>
      <c r="R50" s="75">
        <f t="shared" si="13"/>
        <v>0</v>
      </c>
      <c r="S50" s="75">
        <f t="shared" si="13"/>
        <v>0</v>
      </c>
    </row>
    <row r="51" spans="4:19" ht="11.25">
      <c r="D51" s="65" t="str">
        <f ca="1">$D$30&amp;" - "&amp;OFFSET($I$7,0,ROWS($D$51:$D51))</f>
        <v>New Capital Expenditure ($) - 2010 </v>
      </c>
      <c r="I51" s="74">
        <f ca="1">OFFSET($I$30,0,ROWS($I$51:$I51))</f>
        <v>100</v>
      </c>
      <c r="J51" s="75">
        <f>$I51*J$45</f>
        <v>34.48275862068966</v>
      </c>
      <c r="K51" s="75">
        <f aca="true" t="shared" si="14" ref="K51:S51">$I51*K$45</f>
        <v>34.48275862068966</v>
      </c>
      <c r="L51" s="75">
        <f t="shared" si="14"/>
        <v>31.034482758620683</v>
      </c>
      <c r="M51" s="75">
        <f t="shared" si="14"/>
        <v>0</v>
      </c>
      <c r="N51" s="75">
        <f t="shared" si="14"/>
        <v>0</v>
      </c>
      <c r="O51" s="75">
        <f t="shared" si="14"/>
        <v>0</v>
      </c>
      <c r="P51" s="75">
        <f t="shared" si="14"/>
        <v>0</v>
      </c>
      <c r="Q51" s="75">
        <f t="shared" si="14"/>
        <v>0</v>
      </c>
      <c r="R51" s="75">
        <f t="shared" si="14"/>
        <v>0</v>
      </c>
      <c r="S51" s="75">
        <f t="shared" si="14"/>
        <v>0</v>
      </c>
    </row>
    <row r="52" spans="4:19" ht="11.25">
      <c r="D52" s="65" t="str">
        <f ca="1">$D$30&amp;" - "&amp;OFFSET($I$7,0,ROWS($D$51:$D52))</f>
        <v>New Capital Expenditure ($) - 2011 </v>
      </c>
      <c r="I52" s="74">
        <f ca="1">OFFSET($I$30,0,ROWS($I$51:$I52))</f>
        <v>150</v>
      </c>
      <c r="K52" s="75">
        <f>$I52*J$45</f>
        <v>51.724137931034484</v>
      </c>
      <c r="L52" s="75">
        <f aca="true" t="shared" si="15" ref="L52:S52">$I52*K$45</f>
        <v>51.724137931034484</v>
      </c>
      <c r="M52" s="75">
        <f t="shared" si="15"/>
        <v>46.551724137931025</v>
      </c>
      <c r="N52" s="75">
        <f t="shared" si="15"/>
        <v>0</v>
      </c>
      <c r="O52" s="75">
        <f t="shared" si="15"/>
        <v>0</v>
      </c>
      <c r="P52" s="75">
        <f t="shared" si="15"/>
        <v>0</v>
      </c>
      <c r="Q52" s="75">
        <f t="shared" si="15"/>
        <v>0</v>
      </c>
      <c r="R52" s="75">
        <f t="shared" si="15"/>
        <v>0</v>
      </c>
      <c r="S52" s="75">
        <f t="shared" si="15"/>
        <v>0</v>
      </c>
    </row>
    <row r="53" spans="4:19" ht="11.25">
      <c r="D53" s="65" t="str">
        <f ca="1">$D$30&amp;" - "&amp;OFFSET($I$7,0,ROWS($D$51:$D53))</f>
        <v>New Capital Expenditure ($) - 2012 </v>
      </c>
      <c r="I53" s="74">
        <f ca="1">OFFSET($I$30,0,ROWS($I$51:$I53))</f>
        <v>175</v>
      </c>
      <c r="L53" s="75">
        <f>$I53*J$45</f>
        <v>60.344827586206904</v>
      </c>
      <c r="M53" s="75">
        <f aca="true" t="shared" si="16" ref="M53:S53">$I53*K$45</f>
        <v>60.344827586206904</v>
      </c>
      <c r="N53" s="75">
        <f t="shared" si="16"/>
        <v>54.3103448275862</v>
      </c>
      <c r="O53" s="75">
        <f t="shared" si="16"/>
        <v>0</v>
      </c>
      <c r="P53" s="75">
        <f t="shared" si="16"/>
        <v>0</v>
      </c>
      <c r="Q53" s="75">
        <f t="shared" si="16"/>
        <v>0</v>
      </c>
      <c r="R53" s="75">
        <f t="shared" si="16"/>
        <v>0</v>
      </c>
      <c r="S53" s="75">
        <f t="shared" si="16"/>
        <v>0</v>
      </c>
    </row>
    <row r="54" spans="4:19" ht="11.25">
      <c r="D54" s="65" t="str">
        <f ca="1">$D$30&amp;" - "&amp;OFFSET($I$7,0,ROWS($D$51:$D54))</f>
        <v>New Capital Expenditure ($) - 2013 </v>
      </c>
      <c r="I54" s="74">
        <f ca="1">OFFSET($I$30,0,ROWS($I$51:$I54))</f>
        <v>220</v>
      </c>
      <c r="M54" s="75">
        <f>$I54*J$45</f>
        <v>75.86206896551725</v>
      </c>
      <c r="N54" s="75">
        <f aca="true" t="shared" si="17" ref="N54:S54">$I54*K$45</f>
        <v>75.86206896551725</v>
      </c>
      <c r="O54" s="75">
        <f t="shared" si="17"/>
        <v>68.27586206896551</v>
      </c>
      <c r="P54" s="75">
        <f t="shared" si="17"/>
        <v>0</v>
      </c>
      <c r="Q54" s="75">
        <f t="shared" si="17"/>
        <v>0</v>
      </c>
      <c r="R54" s="75">
        <f t="shared" si="17"/>
        <v>0</v>
      </c>
      <c r="S54" s="75">
        <f t="shared" si="17"/>
        <v>0</v>
      </c>
    </row>
    <row r="55" spans="4:19" ht="11.25">
      <c r="D55" s="65" t="str">
        <f ca="1">$D$30&amp;" - "&amp;OFFSET($I$7,0,ROWS($D$51:$D55))</f>
        <v>New Capital Expenditure ($) - 2014 </v>
      </c>
      <c r="I55" s="74">
        <f ca="1">OFFSET($I$30,0,ROWS($I$51:$I55))</f>
        <v>130</v>
      </c>
      <c r="N55" s="75">
        <f aca="true" t="shared" si="18" ref="N55:S55">$I55*J$45</f>
        <v>44.827586206896555</v>
      </c>
      <c r="O55" s="75">
        <f t="shared" si="18"/>
        <v>44.827586206896555</v>
      </c>
      <c r="P55" s="75">
        <f t="shared" si="18"/>
        <v>40.34482758620689</v>
      </c>
      <c r="Q55" s="75">
        <f t="shared" si="18"/>
        <v>0</v>
      </c>
      <c r="R55" s="75">
        <f t="shared" si="18"/>
        <v>0</v>
      </c>
      <c r="S55" s="75">
        <f t="shared" si="18"/>
        <v>0</v>
      </c>
    </row>
    <row r="56" spans="4:19" ht="11.25">
      <c r="D56" s="65" t="str">
        <f ca="1">$D$30&amp;" - "&amp;OFFSET($I$7,0,ROWS($D$51:$D56))</f>
        <v>New Capital Expenditure ($) - 2015 </v>
      </c>
      <c r="I56" s="74">
        <f ca="1">OFFSET($I$30,0,ROWS($I$51:$I56))</f>
        <v>740</v>
      </c>
      <c r="O56" s="75">
        <f>$I56*J$45</f>
        <v>255.17241379310346</v>
      </c>
      <c r="P56" s="75">
        <f>$I56*K$45</f>
        <v>255.17241379310346</v>
      </c>
      <c r="Q56" s="75">
        <f>$I56*L$45</f>
        <v>229.65517241379308</v>
      </c>
      <c r="R56" s="75">
        <f>$I56*M$45</f>
        <v>0</v>
      </c>
      <c r="S56" s="75">
        <f>$I56*N$45</f>
        <v>0</v>
      </c>
    </row>
    <row r="57" spans="4:19" ht="11.25">
      <c r="D57" s="65" t="str">
        <f ca="1">$D$30&amp;" - "&amp;OFFSET($I$7,0,ROWS($D$51:$D57))</f>
        <v>New Capital Expenditure ($) - 2016 </v>
      </c>
      <c r="I57" s="74">
        <f ca="1">OFFSET($I$30,0,ROWS($I$51:$I57))</f>
        <v>410</v>
      </c>
      <c r="P57" s="75">
        <f>$I57*J$45</f>
        <v>141.3793103448276</v>
      </c>
      <c r="Q57" s="75">
        <f>$I57*K$45</f>
        <v>141.3793103448276</v>
      </c>
      <c r="R57" s="75">
        <f>$I57*L$45</f>
        <v>127.24137931034481</v>
      </c>
      <c r="S57" s="75">
        <f>$I57*M$45</f>
        <v>0</v>
      </c>
    </row>
    <row r="58" spans="4:19" ht="11.25">
      <c r="D58" s="65" t="str">
        <f ca="1">$D$30&amp;" - "&amp;OFFSET($I$7,0,ROWS($D$51:$D58))</f>
        <v>New Capital Expenditure ($) - 2017 </v>
      </c>
      <c r="I58" s="74">
        <f ca="1">OFFSET($I$30,0,ROWS($I$51:$I58))</f>
        <v>165</v>
      </c>
      <c r="Q58" s="75">
        <f>$I58*J$45</f>
        <v>56.896551724137936</v>
      </c>
      <c r="R58" s="75">
        <f>$I58*K$45</f>
        <v>56.896551724137936</v>
      </c>
      <c r="S58" s="75">
        <f>$I58*L$45</f>
        <v>51.20689655172413</v>
      </c>
    </row>
    <row r="59" spans="4:19" ht="11.25">
      <c r="D59" s="65" t="str">
        <f ca="1">$D$30&amp;" - "&amp;OFFSET($I$7,0,ROWS($D$51:$D59))</f>
        <v>New Capital Expenditure ($) - 2018 </v>
      </c>
      <c r="I59" s="74">
        <f ca="1">OFFSET($I$30,0,ROWS($I$51:$I59))</f>
        <v>55</v>
      </c>
      <c r="R59" s="75">
        <f>$I59*J$45</f>
        <v>18.965517241379313</v>
      </c>
      <c r="S59" s="75">
        <f>$I59*K$45</f>
        <v>18.965517241379313</v>
      </c>
    </row>
    <row r="60" spans="4:19" ht="11.25">
      <c r="D60" s="65" t="str">
        <f ca="1">$D$30&amp;" - "&amp;OFFSET($I$7,0,ROWS($D$51:$D60))</f>
        <v>New Capital Expenditure ($) - 2019 </v>
      </c>
      <c r="I60" s="74">
        <f ca="1">OFFSET($I$30,0,ROWS($I$51:$I60))</f>
        <v>80</v>
      </c>
      <c r="S60" s="75">
        <f>$I60*J$45</f>
        <v>27.586206896551726</v>
      </c>
    </row>
    <row r="61" spans="4:19" ht="11.25">
      <c r="D61" s="65"/>
      <c r="J61" s="77">
        <f>SUM(J50:J60)</f>
        <v>194.05722670579604</v>
      </c>
      <c r="K61" s="77">
        <f aca="true" t="shared" si="19" ref="K61:S61">SUM(K50:K60)</f>
        <v>245.78136463683052</v>
      </c>
      <c r="L61" s="77">
        <f t="shared" si="19"/>
        <v>302.6779163609685</v>
      </c>
      <c r="M61" s="77">
        <f t="shared" si="19"/>
        <v>342.33308877476156</v>
      </c>
      <c r="N61" s="77">
        <f t="shared" si="19"/>
        <v>286.7021276595745</v>
      </c>
      <c r="O61" s="77">
        <f t="shared" si="19"/>
        <v>368.2758620689655</v>
      </c>
      <c r="P61" s="77">
        <f t="shared" si="19"/>
        <v>436.8965517241379</v>
      </c>
      <c r="Q61" s="77">
        <f t="shared" si="19"/>
        <v>427.9310344827586</v>
      </c>
      <c r="R61" s="77">
        <f t="shared" si="19"/>
        <v>203.10344827586204</v>
      </c>
      <c r="S61" s="77">
        <f t="shared" si="19"/>
        <v>97.75862068965517</v>
      </c>
    </row>
    <row r="63" ht="11.25"/>
    <row r="64" ht="12.75">
      <c r="B64" s="69" t="s">
        <v>163</v>
      </c>
    </row>
    <row r="65" ht="11.25"/>
    <row r="66" spans="4:19" ht="11.25">
      <c r="D66" s="73" t="str">
        <f>D27</f>
        <v>Opening Non-Current Assets ($)</v>
      </c>
      <c r="I66" s="74">
        <f>Opening_NCA</f>
        <v>750</v>
      </c>
      <c r="J66" s="79">
        <f>IF(ROWS($J$66:$J66)=1,$I66*J$44,IF(J$18-ROWS($I$66:$I66)+2&gt;0,INDEX($J$45:$S$45,J$18-ROWS($I$66:$I66)+2)*$I66,0))</f>
        <v>159.5744680851064</v>
      </c>
      <c r="K66" s="79">
        <f>IF(ROWS($J$66:$J66)=1,$I66*K$44,IF(K$18-ROWS($I$66:$I66)+2&gt;0,INDEX($J$45:$S$45,K$18-ROWS($I$66:$I66)+2)*$I66,0))</f>
        <v>159.5744680851064</v>
      </c>
      <c r="L66" s="79">
        <f>IF(ROWS($J$66:$J66)=1,$I66*L$44,IF(L$18-ROWS($I$66:$I66)+2&gt;0,INDEX($J$45:$S$45,L$18-ROWS($I$66:$I66)+2)*$I66,0))</f>
        <v>159.5744680851064</v>
      </c>
      <c r="M66" s="79">
        <f>IF(ROWS($J$66:$J66)=1,$I66*M$44,IF(M$18-ROWS($I$66:$I66)+2&gt;0,INDEX($J$45:$S$45,M$18-ROWS($I$66:$I66)+2)*$I66,0))</f>
        <v>159.5744680851064</v>
      </c>
      <c r="N66" s="79">
        <f>IF(ROWS($J$66:$J66)=1,$I66*N$44,IF(N$18-ROWS($I$66:$I66)+2&gt;0,INDEX($J$45:$S$45,N$18-ROWS($I$66:$I66)+2)*$I66,0))</f>
        <v>111.70212765957446</v>
      </c>
      <c r="O66" s="79">
        <f>IF(ROWS($J$66:$J66)=1,$I66*O$44,IF(O$18-ROWS($I$66:$I66)+2&gt;0,INDEX($J$45:$S$45,O$18-ROWS($I$66:$I66)+2)*$I66,0))</f>
        <v>0</v>
      </c>
      <c r="P66" s="79">
        <f>IF(ROWS($J$66:$J66)=1,$I66*P$44,IF(P$18-ROWS($I$66:$I66)+2&gt;0,INDEX($J$45:$S$45,P$18-ROWS($I$66:$I66)+2)*$I66,0))</f>
        <v>0</v>
      </c>
      <c r="Q66" s="79">
        <f>IF(ROWS($J$66:$J66)=1,$I66*Q$44,IF(Q$18-ROWS($I$66:$I66)+2&gt;0,INDEX($J$45:$S$45,Q$18-ROWS($I$66:$I66)+2)*$I66,0))</f>
        <v>0</v>
      </c>
      <c r="R66" s="79">
        <f>IF(ROWS($J$66:$J66)=1,$I66*R$44,IF(R$18-ROWS($I$66:$I66)+2&gt;0,INDEX($J$45:$S$45,R$18-ROWS($I$66:$I66)+2)*$I66,0))</f>
        <v>0</v>
      </c>
      <c r="S66" s="79">
        <f>IF(ROWS($J$66:$J66)=1,$I66*S$44,IF(S$18-ROWS($I$66:$I66)+2&gt;0,INDEX($J$45:$S$45,S$18-ROWS($I$66:$I66)+2)*$I66,0))</f>
        <v>0</v>
      </c>
    </row>
    <row r="67" spans="4:19" ht="11.25">
      <c r="D67" s="65" t="str">
        <f ca="1">$D$30&amp;" - "&amp;OFFSET($I$7,0,ROWS($D$67:$D67))</f>
        <v>New Capital Expenditure ($) - 2010 </v>
      </c>
      <c r="I67" s="74">
        <f ca="1">OFFSET($I$30,0,ROWS($I$67:$I67))</f>
        <v>100</v>
      </c>
      <c r="J67" s="79">
        <f>IF(ROWS($J$66:$J67)=1,$I67*J$44,IF(J$18-ROWS($I$66:$I67)+2&gt;0,INDEX($J$45:$S$45,J$18-ROWS($I$66:$I67)+2)*$I67,0))</f>
        <v>34.48275862068966</v>
      </c>
      <c r="K67" s="79">
        <f>IF(ROWS($J$66:$J67)=1,$I67*K$44,IF(K$18-ROWS($I$66:$I67)+2&gt;0,INDEX($J$45:$S$45,K$18-ROWS($I$66:$I67)+2)*$I67,0))</f>
        <v>34.48275862068966</v>
      </c>
      <c r="L67" s="79">
        <f>IF(ROWS($J$66:$J67)=1,$I67*L$44,IF(L$18-ROWS($I$66:$I67)+2&gt;0,INDEX($J$45:$S$45,L$18-ROWS($I$66:$I67)+2)*$I67,0))</f>
        <v>31.034482758620683</v>
      </c>
      <c r="M67" s="79">
        <f>IF(ROWS($J$66:$J67)=1,$I67*M$44,IF(M$18-ROWS($I$66:$I67)+2&gt;0,INDEX($J$45:$S$45,M$18-ROWS($I$66:$I67)+2)*$I67,0))</f>
        <v>0</v>
      </c>
      <c r="N67" s="79">
        <f>IF(ROWS($J$66:$J67)=1,$I67*N$44,IF(N$18-ROWS($I$66:$I67)+2&gt;0,INDEX($J$45:$S$45,N$18-ROWS($I$66:$I67)+2)*$I67,0))</f>
        <v>0</v>
      </c>
      <c r="O67" s="79">
        <f>IF(ROWS($J$66:$J67)=1,$I67*O$44,IF(O$18-ROWS($I$66:$I67)+2&gt;0,INDEX($J$45:$S$45,O$18-ROWS($I$66:$I67)+2)*$I67,0))</f>
        <v>0</v>
      </c>
      <c r="P67" s="79">
        <f>IF(ROWS($J$66:$J67)=1,$I67*P$44,IF(P$18-ROWS($I$66:$I67)+2&gt;0,INDEX($J$45:$S$45,P$18-ROWS($I$66:$I67)+2)*$I67,0))</f>
        <v>0</v>
      </c>
      <c r="Q67" s="79">
        <f>IF(ROWS($J$66:$J67)=1,$I67*Q$44,IF(Q$18-ROWS($I$66:$I67)+2&gt;0,INDEX($J$45:$S$45,Q$18-ROWS($I$66:$I67)+2)*$I67,0))</f>
        <v>0</v>
      </c>
      <c r="R67" s="79">
        <f>IF(ROWS($J$66:$J67)=1,$I67*R$44,IF(R$18-ROWS($I$66:$I67)+2&gt;0,INDEX($J$45:$S$45,R$18-ROWS($I$66:$I67)+2)*$I67,0))</f>
        <v>0</v>
      </c>
      <c r="S67" s="79">
        <f>IF(ROWS($J$66:$J67)=1,$I67*S$44,IF(S$18-ROWS($I$66:$I67)+2&gt;0,INDEX($J$45:$S$45,S$18-ROWS($I$66:$I67)+2)*$I67,0))</f>
        <v>0</v>
      </c>
    </row>
    <row r="68" spans="4:19" ht="11.25">
      <c r="D68" s="65" t="str">
        <f ca="1">$D$30&amp;" - "&amp;OFFSET($I$7,0,ROWS($D$67:$D68))</f>
        <v>New Capital Expenditure ($) - 2011 </v>
      </c>
      <c r="I68" s="74">
        <f ca="1">OFFSET($I$30,0,ROWS($I$67:$I68))</f>
        <v>150</v>
      </c>
      <c r="J68" s="79">
        <f>IF(ROWS($J$66:$J68)=1,$I68*J$44,IF(J$18-ROWS($I$66:$I68)+2&gt;0,INDEX($J$45:$S$45,J$18-ROWS($I$66:$I68)+2)*$I68,0))</f>
        <v>0</v>
      </c>
      <c r="K68" s="79">
        <f>IF(ROWS($J$66:$J68)=1,$I68*K$44,IF(K$18-ROWS($I$66:$I68)+2&gt;0,INDEX($J$45:$S$45,K$18-ROWS($I$66:$I68)+2)*$I68,0))</f>
        <v>51.724137931034484</v>
      </c>
      <c r="L68" s="79">
        <f>IF(ROWS($J$66:$J68)=1,$I68*L$44,IF(L$18-ROWS($I$66:$I68)+2&gt;0,INDEX($J$45:$S$45,L$18-ROWS($I$66:$I68)+2)*$I68,0))</f>
        <v>51.724137931034484</v>
      </c>
      <c r="M68" s="79">
        <f>IF(ROWS($J$66:$J68)=1,$I68*M$44,IF(M$18-ROWS($I$66:$I68)+2&gt;0,INDEX($J$45:$S$45,M$18-ROWS($I$66:$I68)+2)*$I68,0))</f>
        <v>46.551724137931025</v>
      </c>
      <c r="N68" s="79">
        <f>IF(ROWS($J$66:$J68)=1,$I68*N$44,IF(N$18-ROWS($I$66:$I68)+2&gt;0,INDEX($J$45:$S$45,N$18-ROWS($I$66:$I68)+2)*$I68,0))</f>
        <v>0</v>
      </c>
      <c r="O68" s="79">
        <f>IF(ROWS($J$66:$J68)=1,$I68*O$44,IF(O$18-ROWS($I$66:$I68)+2&gt;0,INDEX($J$45:$S$45,O$18-ROWS($I$66:$I68)+2)*$I68,0))</f>
        <v>0</v>
      </c>
      <c r="P68" s="79">
        <f>IF(ROWS($J$66:$J68)=1,$I68*P$44,IF(P$18-ROWS($I$66:$I68)+2&gt;0,INDEX($J$45:$S$45,P$18-ROWS($I$66:$I68)+2)*$I68,0))</f>
        <v>0</v>
      </c>
      <c r="Q68" s="79">
        <f>IF(ROWS($J$66:$J68)=1,$I68*Q$44,IF(Q$18-ROWS($I$66:$I68)+2&gt;0,INDEX($J$45:$S$45,Q$18-ROWS($I$66:$I68)+2)*$I68,0))</f>
        <v>0</v>
      </c>
      <c r="R68" s="79">
        <f>IF(ROWS($J$66:$J68)=1,$I68*R$44,IF(R$18-ROWS($I$66:$I68)+2&gt;0,INDEX($J$45:$S$45,R$18-ROWS($I$66:$I68)+2)*$I68,0))</f>
        <v>0</v>
      </c>
      <c r="S68" s="79">
        <f>IF(ROWS($J$66:$J68)=1,$I68*S$44,IF(S$18-ROWS($I$66:$I68)+2&gt;0,INDEX($J$45:$S$45,S$18-ROWS($I$66:$I68)+2)*$I68,0))</f>
        <v>0</v>
      </c>
    </row>
    <row r="69" spans="4:19" ht="11.25">
      <c r="D69" s="65" t="str">
        <f ca="1">$D$30&amp;" - "&amp;OFFSET($I$7,0,ROWS($D$67:$D69))</f>
        <v>New Capital Expenditure ($) - 2012 </v>
      </c>
      <c r="I69" s="74">
        <f ca="1">OFFSET($I$30,0,ROWS($I$67:$I69))</f>
        <v>175</v>
      </c>
      <c r="J69" s="79">
        <f>IF(ROWS($J$66:$J69)=1,$I69*J$44,IF(J$18-ROWS($I$66:$I69)+2&gt;0,INDEX($J$45:$S$45,J$18-ROWS($I$66:$I69)+2)*$I69,0))</f>
        <v>0</v>
      </c>
      <c r="K69" s="79">
        <f>IF(ROWS($J$66:$J69)=1,$I69*K$44,IF(K$18-ROWS($I$66:$I69)+2&gt;0,INDEX($J$45:$S$45,K$18-ROWS($I$66:$I69)+2)*$I69,0))</f>
        <v>0</v>
      </c>
      <c r="L69" s="79">
        <f>IF(ROWS($J$66:$J69)=1,$I69*L$44,IF(L$18-ROWS($I$66:$I69)+2&gt;0,INDEX($J$45:$S$45,L$18-ROWS($I$66:$I69)+2)*$I69,0))</f>
        <v>60.344827586206904</v>
      </c>
      <c r="M69" s="79">
        <f>IF(ROWS($J$66:$J69)=1,$I69*M$44,IF(M$18-ROWS($I$66:$I69)+2&gt;0,INDEX($J$45:$S$45,M$18-ROWS($I$66:$I69)+2)*$I69,0))</f>
        <v>60.344827586206904</v>
      </c>
      <c r="N69" s="79">
        <f>IF(ROWS($J$66:$J69)=1,$I69*N$44,IF(N$18-ROWS($I$66:$I69)+2&gt;0,INDEX($J$45:$S$45,N$18-ROWS($I$66:$I69)+2)*$I69,0))</f>
        <v>54.3103448275862</v>
      </c>
      <c r="O69" s="79">
        <f>IF(ROWS($J$66:$J69)=1,$I69*O$44,IF(O$18-ROWS($I$66:$I69)+2&gt;0,INDEX($J$45:$S$45,O$18-ROWS($I$66:$I69)+2)*$I69,0))</f>
        <v>0</v>
      </c>
      <c r="P69" s="79">
        <f>IF(ROWS($J$66:$J69)=1,$I69*P$44,IF(P$18-ROWS($I$66:$I69)+2&gt;0,INDEX($J$45:$S$45,P$18-ROWS($I$66:$I69)+2)*$I69,0))</f>
        <v>0</v>
      </c>
      <c r="Q69" s="79">
        <f>IF(ROWS($J$66:$J69)=1,$I69*Q$44,IF(Q$18-ROWS($I$66:$I69)+2&gt;0,INDEX($J$45:$S$45,Q$18-ROWS($I$66:$I69)+2)*$I69,0))</f>
        <v>0</v>
      </c>
      <c r="R69" s="79">
        <f>IF(ROWS($J$66:$J69)=1,$I69*R$44,IF(R$18-ROWS($I$66:$I69)+2&gt;0,INDEX($J$45:$S$45,R$18-ROWS($I$66:$I69)+2)*$I69,0))</f>
        <v>0</v>
      </c>
      <c r="S69" s="79">
        <f>IF(ROWS($J$66:$J69)=1,$I69*S$44,IF(S$18-ROWS($I$66:$I69)+2&gt;0,INDEX($J$45:$S$45,S$18-ROWS($I$66:$I69)+2)*$I69,0))</f>
        <v>0</v>
      </c>
    </row>
    <row r="70" spans="4:19" ht="11.25">
      <c r="D70" s="65" t="str">
        <f ca="1">$D$30&amp;" - "&amp;OFFSET($I$7,0,ROWS($D$67:$D70))</f>
        <v>New Capital Expenditure ($) - 2013 </v>
      </c>
      <c r="I70" s="74">
        <f ca="1">OFFSET($I$30,0,ROWS($I$67:$I70))</f>
        <v>220</v>
      </c>
      <c r="J70" s="79">
        <f>IF(ROWS($J$66:$J70)=1,$I70*J$44,IF(J$18-ROWS($I$66:$I70)+2&gt;0,INDEX($J$45:$S$45,J$18-ROWS($I$66:$I70)+2)*$I70,0))</f>
        <v>0</v>
      </c>
      <c r="K70" s="79">
        <f>IF(ROWS($J$66:$J70)=1,$I70*K$44,IF(K$18-ROWS($I$66:$I70)+2&gt;0,INDEX($J$45:$S$45,K$18-ROWS($I$66:$I70)+2)*$I70,0))</f>
        <v>0</v>
      </c>
      <c r="L70" s="79">
        <f>IF(ROWS($J$66:$J70)=1,$I70*L$44,IF(L$18-ROWS($I$66:$I70)+2&gt;0,INDEX($J$45:$S$45,L$18-ROWS($I$66:$I70)+2)*$I70,0))</f>
        <v>0</v>
      </c>
      <c r="M70" s="79">
        <f>IF(ROWS($J$66:$J70)=1,$I70*M$44,IF(M$18-ROWS($I$66:$I70)+2&gt;0,INDEX($J$45:$S$45,M$18-ROWS($I$66:$I70)+2)*$I70,0))</f>
        <v>75.86206896551725</v>
      </c>
      <c r="N70" s="79">
        <f>IF(ROWS($J$66:$J70)=1,$I70*N$44,IF(N$18-ROWS($I$66:$I70)+2&gt;0,INDEX($J$45:$S$45,N$18-ROWS($I$66:$I70)+2)*$I70,0))</f>
        <v>75.86206896551725</v>
      </c>
      <c r="O70" s="79">
        <f>IF(ROWS($J$66:$J70)=1,$I70*O$44,IF(O$18-ROWS($I$66:$I70)+2&gt;0,INDEX($J$45:$S$45,O$18-ROWS($I$66:$I70)+2)*$I70,0))</f>
        <v>68.27586206896551</v>
      </c>
      <c r="P70" s="79">
        <f>IF(ROWS($J$66:$J70)=1,$I70*P$44,IF(P$18-ROWS($I$66:$I70)+2&gt;0,INDEX($J$45:$S$45,P$18-ROWS($I$66:$I70)+2)*$I70,0))</f>
        <v>0</v>
      </c>
      <c r="Q70" s="79">
        <f>IF(ROWS($J$66:$J70)=1,$I70*Q$44,IF(Q$18-ROWS($I$66:$I70)+2&gt;0,INDEX($J$45:$S$45,Q$18-ROWS($I$66:$I70)+2)*$I70,0))</f>
        <v>0</v>
      </c>
      <c r="R70" s="79">
        <f>IF(ROWS($J$66:$J70)=1,$I70*R$44,IF(R$18-ROWS($I$66:$I70)+2&gt;0,INDEX($J$45:$S$45,R$18-ROWS($I$66:$I70)+2)*$I70,0))</f>
        <v>0</v>
      </c>
      <c r="S70" s="79">
        <f>IF(ROWS($J$66:$J70)=1,$I70*S$44,IF(S$18-ROWS($I$66:$I70)+2&gt;0,INDEX($J$45:$S$45,S$18-ROWS($I$66:$I70)+2)*$I70,0))</f>
        <v>0</v>
      </c>
    </row>
    <row r="71" spans="4:19" ht="11.25">
      <c r="D71" s="65" t="str">
        <f ca="1">$D$30&amp;" - "&amp;OFFSET($I$7,0,ROWS($D$67:$D71))</f>
        <v>New Capital Expenditure ($) - 2014 </v>
      </c>
      <c r="I71" s="74">
        <f ca="1">OFFSET($I$30,0,ROWS($I$67:$I71))</f>
        <v>130</v>
      </c>
      <c r="J71" s="79">
        <f>IF(ROWS($J$66:$J71)=1,$I71*J$44,IF(J$18-ROWS($I$66:$I71)+2&gt;0,INDEX($J$45:$S$45,J$18-ROWS($I$66:$I71)+2)*$I71,0))</f>
        <v>0</v>
      </c>
      <c r="K71" s="79">
        <f>IF(ROWS($J$66:$J71)=1,$I71*K$44,IF(K$18-ROWS($I$66:$I71)+2&gt;0,INDEX($J$45:$S$45,K$18-ROWS($I$66:$I71)+2)*$I71,0))</f>
        <v>0</v>
      </c>
      <c r="L71" s="79">
        <f>IF(ROWS($J$66:$J71)=1,$I71*L$44,IF(L$18-ROWS($I$66:$I71)+2&gt;0,INDEX($J$45:$S$45,L$18-ROWS($I$66:$I71)+2)*$I71,0))</f>
        <v>0</v>
      </c>
      <c r="M71" s="79">
        <f>IF(ROWS($J$66:$J71)=1,$I71*M$44,IF(M$18-ROWS($I$66:$I71)+2&gt;0,INDEX($J$45:$S$45,M$18-ROWS($I$66:$I71)+2)*$I71,0))</f>
        <v>0</v>
      </c>
      <c r="N71" s="79">
        <f>IF(ROWS($J$66:$J71)=1,$I71*N$44,IF(N$18-ROWS($I$66:$I71)+2&gt;0,INDEX($J$45:$S$45,N$18-ROWS($I$66:$I71)+2)*$I71,0))</f>
        <v>44.827586206896555</v>
      </c>
      <c r="O71" s="79">
        <f>IF(ROWS($J$66:$J71)=1,$I71*O$44,IF(O$18-ROWS($I$66:$I71)+2&gt;0,INDEX($J$45:$S$45,O$18-ROWS($I$66:$I71)+2)*$I71,0))</f>
        <v>44.827586206896555</v>
      </c>
      <c r="P71" s="79">
        <f>IF(ROWS($J$66:$J71)=1,$I71*P$44,IF(P$18-ROWS($I$66:$I71)+2&gt;0,INDEX($J$45:$S$45,P$18-ROWS($I$66:$I71)+2)*$I71,0))</f>
        <v>40.34482758620689</v>
      </c>
      <c r="Q71" s="79">
        <f>IF(ROWS($J$66:$J71)=1,$I71*Q$44,IF(Q$18-ROWS($I$66:$I71)+2&gt;0,INDEX($J$45:$S$45,Q$18-ROWS($I$66:$I71)+2)*$I71,0))</f>
        <v>0</v>
      </c>
      <c r="R71" s="79">
        <f>IF(ROWS($J$66:$J71)=1,$I71*R$44,IF(R$18-ROWS($I$66:$I71)+2&gt;0,INDEX($J$45:$S$45,R$18-ROWS($I$66:$I71)+2)*$I71,0))</f>
        <v>0</v>
      </c>
      <c r="S71" s="79">
        <f>IF(ROWS($J$66:$J71)=1,$I71*S$44,IF(S$18-ROWS($I$66:$I71)+2&gt;0,INDEX($J$45:$S$45,S$18-ROWS($I$66:$I71)+2)*$I71,0))</f>
        <v>0</v>
      </c>
    </row>
    <row r="72" spans="4:19" ht="11.25">
      <c r="D72" s="65" t="str">
        <f ca="1">$D$30&amp;" - "&amp;OFFSET($I$7,0,ROWS($D$67:$D72))</f>
        <v>New Capital Expenditure ($) - 2015 </v>
      </c>
      <c r="I72" s="74">
        <f ca="1">OFFSET($I$30,0,ROWS($I$67:$I72))</f>
        <v>740</v>
      </c>
      <c r="J72" s="79">
        <f>IF(ROWS($J$66:$J72)=1,$I72*J$44,IF(J$18-ROWS($I$66:$I72)+2&gt;0,INDEX($J$45:$S$45,J$18-ROWS($I$66:$I72)+2)*$I72,0))</f>
        <v>0</v>
      </c>
      <c r="K72" s="79">
        <f>IF(ROWS($J$66:$J72)=1,$I72*K$44,IF(K$18-ROWS($I$66:$I72)+2&gt;0,INDEX($J$45:$S$45,K$18-ROWS($I$66:$I72)+2)*$I72,0))</f>
        <v>0</v>
      </c>
      <c r="L72" s="79">
        <f>IF(ROWS($J$66:$J72)=1,$I72*L$44,IF(L$18-ROWS($I$66:$I72)+2&gt;0,INDEX($J$45:$S$45,L$18-ROWS($I$66:$I72)+2)*$I72,0))</f>
        <v>0</v>
      </c>
      <c r="M72" s="79">
        <f>IF(ROWS($J$66:$J72)=1,$I72*M$44,IF(M$18-ROWS($I$66:$I72)+2&gt;0,INDEX($J$45:$S$45,M$18-ROWS($I$66:$I72)+2)*$I72,0))</f>
        <v>0</v>
      </c>
      <c r="N72" s="79">
        <f>IF(ROWS($J$66:$J72)=1,$I72*N$44,IF(N$18-ROWS($I$66:$I72)+2&gt;0,INDEX($J$45:$S$45,N$18-ROWS($I$66:$I72)+2)*$I72,0))</f>
        <v>0</v>
      </c>
      <c r="O72" s="79">
        <f>IF(ROWS($J$66:$J72)=1,$I72*O$44,IF(O$18-ROWS($I$66:$I72)+2&gt;0,INDEX($J$45:$S$45,O$18-ROWS($I$66:$I72)+2)*$I72,0))</f>
        <v>255.17241379310346</v>
      </c>
      <c r="P72" s="79">
        <f>IF(ROWS($J$66:$J72)=1,$I72*P$44,IF(P$18-ROWS($I$66:$I72)+2&gt;0,INDEX($J$45:$S$45,P$18-ROWS($I$66:$I72)+2)*$I72,0))</f>
        <v>255.17241379310346</v>
      </c>
      <c r="Q72" s="79">
        <f>IF(ROWS($J$66:$J72)=1,$I72*Q$44,IF(Q$18-ROWS($I$66:$I72)+2&gt;0,INDEX($J$45:$S$45,Q$18-ROWS($I$66:$I72)+2)*$I72,0))</f>
        <v>229.65517241379308</v>
      </c>
      <c r="R72" s="79">
        <f>IF(ROWS($J$66:$J72)=1,$I72*R$44,IF(R$18-ROWS($I$66:$I72)+2&gt;0,INDEX($J$45:$S$45,R$18-ROWS($I$66:$I72)+2)*$I72,0))</f>
        <v>0</v>
      </c>
      <c r="S72" s="79">
        <f>IF(ROWS($J$66:$J72)=1,$I72*S$44,IF(S$18-ROWS($I$66:$I72)+2&gt;0,INDEX($J$45:$S$45,S$18-ROWS($I$66:$I72)+2)*$I72,0))</f>
        <v>0</v>
      </c>
    </row>
    <row r="73" spans="4:19" ht="11.25">
      <c r="D73" s="65" t="str">
        <f ca="1">$D$30&amp;" - "&amp;OFFSET($I$7,0,ROWS($D$67:$D73))</f>
        <v>New Capital Expenditure ($) - 2016 </v>
      </c>
      <c r="I73" s="74">
        <f ca="1">OFFSET($I$30,0,ROWS($I$67:$I73))</f>
        <v>410</v>
      </c>
      <c r="J73" s="79">
        <f>IF(ROWS($J$66:$J73)=1,$I73*J$44,IF(J$18-ROWS($I$66:$I73)+2&gt;0,INDEX($J$45:$S$45,J$18-ROWS($I$66:$I73)+2)*$I73,0))</f>
        <v>0</v>
      </c>
      <c r="K73" s="79">
        <f>IF(ROWS($J$66:$J73)=1,$I73*K$44,IF(K$18-ROWS($I$66:$I73)+2&gt;0,INDEX($J$45:$S$45,K$18-ROWS($I$66:$I73)+2)*$I73,0))</f>
        <v>0</v>
      </c>
      <c r="L73" s="79">
        <f>IF(ROWS($J$66:$J73)=1,$I73*L$44,IF(L$18-ROWS($I$66:$I73)+2&gt;0,INDEX($J$45:$S$45,L$18-ROWS($I$66:$I73)+2)*$I73,0))</f>
        <v>0</v>
      </c>
      <c r="M73" s="79">
        <f>IF(ROWS($J$66:$J73)=1,$I73*M$44,IF(M$18-ROWS($I$66:$I73)+2&gt;0,INDEX($J$45:$S$45,M$18-ROWS($I$66:$I73)+2)*$I73,0))</f>
        <v>0</v>
      </c>
      <c r="N73" s="79">
        <f>IF(ROWS($J$66:$J73)=1,$I73*N$44,IF(N$18-ROWS($I$66:$I73)+2&gt;0,INDEX($J$45:$S$45,N$18-ROWS($I$66:$I73)+2)*$I73,0))</f>
        <v>0</v>
      </c>
      <c r="O73" s="79">
        <f>IF(ROWS($J$66:$J73)=1,$I73*O$44,IF(O$18-ROWS($I$66:$I73)+2&gt;0,INDEX($J$45:$S$45,O$18-ROWS($I$66:$I73)+2)*$I73,0))</f>
        <v>0</v>
      </c>
      <c r="P73" s="79">
        <f>IF(ROWS($J$66:$J73)=1,$I73*P$44,IF(P$18-ROWS($I$66:$I73)+2&gt;0,INDEX($J$45:$S$45,P$18-ROWS($I$66:$I73)+2)*$I73,0))</f>
        <v>141.3793103448276</v>
      </c>
      <c r="Q73" s="79">
        <f>IF(ROWS($J$66:$J73)=1,$I73*Q$44,IF(Q$18-ROWS($I$66:$I73)+2&gt;0,INDEX($J$45:$S$45,Q$18-ROWS($I$66:$I73)+2)*$I73,0))</f>
        <v>141.3793103448276</v>
      </c>
      <c r="R73" s="79">
        <f>IF(ROWS($J$66:$J73)=1,$I73*R$44,IF(R$18-ROWS($I$66:$I73)+2&gt;0,INDEX($J$45:$S$45,R$18-ROWS($I$66:$I73)+2)*$I73,0))</f>
        <v>127.24137931034481</v>
      </c>
      <c r="S73" s="79">
        <f>IF(ROWS($J$66:$J73)=1,$I73*S$44,IF(S$18-ROWS($I$66:$I73)+2&gt;0,INDEX($J$45:$S$45,S$18-ROWS($I$66:$I73)+2)*$I73,0))</f>
        <v>0</v>
      </c>
    </row>
    <row r="74" spans="4:19" ht="11.25">
      <c r="D74" s="65" t="str">
        <f ca="1">$D$30&amp;" - "&amp;OFFSET($I$7,0,ROWS($D$67:$D74))</f>
        <v>New Capital Expenditure ($) - 2017 </v>
      </c>
      <c r="I74" s="74">
        <f ca="1">OFFSET($I$30,0,ROWS($I$67:$I74))</f>
        <v>165</v>
      </c>
      <c r="J74" s="79">
        <f>IF(ROWS($J$66:$J74)=1,$I74*J$44,IF(J$18-ROWS($I$66:$I74)+2&gt;0,INDEX($J$45:$S$45,J$18-ROWS($I$66:$I74)+2)*$I74,0))</f>
        <v>0</v>
      </c>
      <c r="K74" s="79">
        <f>IF(ROWS($J$66:$J74)=1,$I74*K$44,IF(K$18-ROWS($I$66:$I74)+2&gt;0,INDEX($J$45:$S$45,K$18-ROWS($I$66:$I74)+2)*$I74,0))</f>
        <v>0</v>
      </c>
      <c r="L74" s="79">
        <f>IF(ROWS($J$66:$J74)=1,$I74*L$44,IF(L$18-ROWS($I$66:$I74)+2&gt;0,INDEX($J$45:$S$45,L$18-ROWS($I$66:$I74)+2)*$I74,0))</f>
        <v>0</v>
      </c>
      <c r="M74" s="79">
        <f>IF(ROWS($J$66:$J74)=1,$I74*M$44,IF(M$18-ROWS($I$66:$I74)+2&gt;0,INDEX($J$45:$S$45,M$18-ROWS($I$66:$I74)+2)*$I74,0))</f>
        <v>0</v>
      </c>
      <c r="N74" s="79">
        <f>IF(ROWS($J$66:$J74)=1,$I74*N$44,IF(N$18-ROWS($I$66:$I74)+2&gt;0,INDEX($J$45:$S$45,N$18-ROWS($I$66:$I74)+2)*$I74,0))</f>
        <v>0</v>
      </c>
      <c r="O74" s="79">
        <f>IF(ROWS($J$66:$J74)=1,$I74*O$44,IF(O$18-ROWS($I$66:$I74)+2&gt;0,INDEX($J$45:$S$45,O$18-ROWS($I$66:$I74)+2)*$I74,0))</f>
        <v>0</v>
      </c>
      <c r="P74" s="79">
        <f>IF(ROWS($J$66:$J74)=1,$I74*P$44,IF(P$18-ROWS($I$66:$I74)+2&gt;0,INDEX($J$45:$S$45,P$18-ROWS($I$66:$I74)+2)*$I74,0))</f>
        <v>0</v>
      </c>
      <c r="Q74" s="79">
        <f>IF(ROWS($J$66:$J74)=1,$I74*Q$44,IF(Q$18-ROWS($I$66:$I74)+2&gt;0,INDEX($J$45:$S$45,Q$18-ROWS($I$66:$I74)+2)*$I74,0))</f>
        <v>56.896551724137936</v>
      </c>
      <c r="R74" s="79">
        <f>IF(ROWS($J$66:$J74)=1,$I74*R$44,IF(R$18-ROWS($I$66:$I74)+2&gt;0,INDEX($J$45:$S$45,R$18-ROWS($I$66:$I74)+2)*$I74,0))</f>
        <v>56.896551724137936</v>
      </c>
      <c r="S74" s="79">
        <f>IF(ROWS($J$66:$J74)=1,$I74*S$44,IF(S$18-ROWS($I$66:$I74)+2&gt;0,INDEX($J$45:$S$45,S$18-ROWS($I$66:$I74)+2)*$I74,0))</f>
        <v>51.20689655172413</v>
      </c>
    </row>
    <row r="75" spans="4:19" ht="11.25">
      <c r="D75" s="65" t="str">
        <f ca="1">$D$30&amp;" - "&amp;OFFSET($I$7,0,ROWS($D$67:$D75))</f>
        <v>New Capital Expenditure ($) - 2018 </v>
      </c>
      <c r="I75" s="74">
        <f ca="1">OFFSET($I$30,0,ROWS($I$67:$I75))</f>
        <v>55</v>
      </c>
      <c r="J75" s="79">
        <f>IF(ROWS($J$66:$J75)=1,$I75*J$44,IF(J$18-ROWS($I$66:$I75)+2&gt;0,INDEX($J$45:$S$45,J$18-ROWS($I$66:$I75)+2)*$I75,0))</f>
        <v>0</v>
      </c>
      <c r="K75" s="79">
        <f>IF(ROWS($J$66:$J75)=1,$I75*K$44,IF(K$18-ROWS($I$66:$I75)+2&gt;0,INDEX($J$45:$S$45,K$18-ROWS($I$66:$I75)+2)*$I75,0))</f>
        <v>0</v>
      </c>
      <c r="L75" s="79">
        <f>IF(ROWS($J$66:$J75)=1,$I75*L$44,IF(L$18-ROWS($I$66:$I75)+2&gt;0,INDEX($J$45:$S$45,L$18-ROWS($I$66:$I75)+2)*$I75,0))</f>
        <v>0</v>
      </c>
      <c r="M75" s="79">
        <f>IF(ROWS($J$66:$J75)=1,$I75*M$44,IF(M$18-ROWS($I$66:$I75)+2&gt;0,INDEX($J$45:$S$45,M$18-ROWS($I$66:$I75)+2)*$I75,0))</f>
        <v>0</v>
      </c>
      <c r="N75" s="79">
        <f>IF(ROWS($J$66:$J75)=1,$I75*N$44,IF(N$18-ROWS($I$66:$I75)+2&gt;0,INDEX($J$45:$S$45,N$18-ROWS($I$66:$I75)+2)*$I75,0))</f>
        <v>0</v>
      </c>
      <c r="O75" s="79">
        <f>IF(ROWS($J$66:$J75)=1,$I75*O$44,IF(O$18-ROWS($I$66:$I75)+2&gt;0,INDEX($J$45:$S$45,O$18-ROWS($I$66:$I75)+2)*$I75,0))</f>
        <v>0</v>
      </c>
      <c r="P75" s="79">
        <f>IF(ROWS($J$66:$J75)=1,$I75*P$44,IF(P$18-ROWS($I$66:$I75)+2&gt;0,INDEX($J$45:$S$45,P$18-ROWS($I$66:$I75)+2)*$I75,0))</f>
        <v>0</v>
      </c>
      <c r="Q75" s="79">
        <f>IF(ROWS($J$66:$J75)=1,$I75*Q$44,IF(Q$18-ROWS($I$66:$I75)+2&gt;0,INDEX($J$45:$S$45,Q$18-ROWS($I$66:$I75)+2)*$I75,0))</f>
        <v>0</v>
      </c>
      <c r="R75" s="79">
        <f>IF(ROWS($J$66:$J75)=1,$I75*R$44,IF(R$18-ROWS($I$66:$I75)+2&gt;0,INDEX($J$45:$S$45,R$18-ROWS($I$66:$I75)+2)*$I75,0))</f>
        <v>18.965517241379313</v>
      </c>
      <c r="S75" s="79">
        <f>IF(ROWS($J$66:$J75)=1,$I75*S$44,IF(S$18-ROWS($I$66:$I75)+2&gt;0,INDEX($J$45:$S$45,S$18-ROWS($I$66:$I75)+2)*$I75,0))</f>
        <v>18.965517241379313</v>
      </c>
    </row>
    <row r="76" spans="4:19" ht="11.25">
      <c r="D76" s="65" t="str">
        <f ca="1">$D$30&amp;" - "&amp;OFFSET($I$7,0,ROWS($D$67:$D76))</f>
        <v>New Capital Expenditure ($) - 2019 </v>
      </c>
      <c r="I76" s="74">
        <f ca="1">OFFSET($I$30,0,ROWS($I$67:$I76))</f>
        <v>80</v>
      </c>
      <c r="J76" s="79">
        <f>IF(ROWS($J$66:$J76)=1,$I76*J$44,IF(J$18-ROWS($I$66:$I76)+2&gt;0,INDEX($J$45:$S$45,J$18-ROWS($I$66:$I76)+2)*$I76,0))</f>
        <v>0</v>
      </c>
      <c r="K76" s="79">
        <f>IF(ROWS($J$66:$J76)=1,$I76*K$44,IF(K$18-ROWS($I$66:$I76)+2&gt;0,INDEX($J$45:$S$45,K$18-ROWS($I$66:$I76)+2)*$I76,0))</f>
        <v>0</v>
      </c>
      <c r="L76" s="79">
        <f>IF(ROWS($J$66:$J76)=1,$I76*L$44,IF(L$18-ROWS($I$66:$I76)+2&gt;0,INDEX($J$45:$S$45,L$18-ROWS($I$66:$I76)+2)*$I76,0))</f>
        <v>0</v>
      </c>
      <c r="M76" s="79">
        <f>IF(ROWS($J$66:$J76)=1,$I76*M$44,IF(M$18-ROWS($I$66:$I76)+2&gt;0,INDEX($J$45:$S$45,M$18-ROWS($I$66:$I76)+2)*$I76,0))</f>
        <v>0</v>
      </c>
      <c r="N76" s="79">
        <f>IF(ROWS($J$66:$J76)=1,$I76*N$44,IF(N$18-ROWS($I$66:$I76)+2&gt;0,INDEX($J$45:$S$45,N$18-ROWS($I$66:$I76)+2)*$I76,0))</f>
        <v>0</v>
      </c>
      <c r="O76" s="79">
        <f>IF(ROWS($J$66:$J76)=1,$I76*O$44,IF(O$18-ROWS($I$66:$I76)+2&gt;0,INDEX($J$45:$S$45,O$18-ROWS($I$66:$I76)+2)*$I76,0))</f>
        <v>0</v>
      </c>
      <c r="P76" s="79">
        <f>IF(ROWS($J$66:$J76)=1,$I76*P$44,IF(P$18-ROWS($I$66:$I76)+2&gt;0,INDEX($J$45:$S$45,P$18-ROWS($I$66:$I76)+2)*$I76,0))</f>
        <v>0</v>
      </c>
      <c r="Q76" s="79">
        <f>IF(ROWS($J$66:$J76)=1,$I76*Q$44,IF(Q$18-ROWS($I$66:$I76)+2&gt;0,INDEX($J$45:$S$45,Q$18-ROWS($I$66:$I76)+2)*$I76,0))</f>
        <v>0</v>
      </c>
      <c r="R76" s="79">
        <f>IF(ROWS($J$66:$J76)=1,$I76*R$44,IF(R$18-ROWS($I$66:$I76)+2&gt;0,INDEX($J$45:$S$45,R$18-ROWS($I$66:$I76)+2)*$I76,0))</f>
        <v>0</v>
      </c>
      <c r="S76" s="79">
        <f>IF(ROWS($J$66:$J76)=1,$I76*S$44,IF(S$18-ROWS($I$66:$I76)+2&gt;0,INDEX($J$45:$S$45,S$18-ROWS($I$66:$I76)+2)*$I76,0))</f>
        <v>27.586206896551726</v>
      </c>
    </row>
    <row r="77" spans="4:19" ht="11.25">
      <c r="D77" s="65"/>
      <c r="J77" s="77">
        <f aca="true" t="shared" si="20" ref="J77:S77">SUM(J66:J76)</f>
        <v>194.05722670579604</v>
      </c>
      <c r="K77" s="77">
        <f t="shared" si="20"/>
        <v>245.78136463683052</v>
      </c>
      <c r="L77" s="77">
        <f t="shared" si="20"/>
        <v>302.6779163609685</v>
      </c>
      <c r="M77" s="77">
        <f t="shared" si="20"/>
        <v>342.33308877476156</v>
      </c>
      <c r="N77" s="77">
        <f t="shared" si="20"/>
        <v>286.7021276595745</v>
      </c>
      <c r="O77" s="77">
        <f t="shared" si="20"/>
        <v>368.2758620689655</v>
      </c>
      <c r="P77" s="77">
        <f t="shared" si="20"/>
        <v>436.8965517241379</v>
      </c>
      <c r="Q77" s="77">
        <f t="shared" si="20"/>
        <v>427.9310344827586</v>
      </c>
      <c r="R77" s="77">
        <f t="shared" si="20"/>
        <v>203.10344827586204</v>
      </c>
      <c r="S77" s="77">
        <f t="shared" si="20"/>
        <v>97.75862068965517</v>
      </c>
    </row>
    <row r="78" ht="11.25"/>
    <row r="80" ht="12.75">
      <c r="B80" s="69" t="s">
        <v>175</v>
      </c>
    </row>
    <row r="81" ht="11.25"/>
    <row r="82" spans="4:19" ht="11.25">
      <c r="D82" s="63" t="str">
        <f>"Reverse "&amp;D44</f>
        <v>Reverse Rate - Existing</v>
      </c>
      <c r="J82" s="72">
        <f ca="1">OFFSET($T44,0,-J$18)</f>
        <v>0</v>
      </c>
      <c r="K82" s="72">
        <f aca="true" ca="1" t="shared" si="21" ref="K82:S82">OFFSET($T44,0,-K$18)</f>
        <v>0</v>
      </c>
      <c r="L82" s="72">
        <f ca="1" t="shared" si="21"/>
        <v>0</v>
      </c>
      <c r="M82" s="72">
        <f ca="1" t="shared" si="21"/>
        <v>0</v>
      </c>
      <c r="N82" s="72">
        <f ca="1" t="shared" si="21"/>
        <v>0</v>
      </c>
      <c r="O82" s="72">
        <f ca="1" t="shared" si="21"/>
        <v>0.14893617021276595</v>
      </c>
      <c r="P82" s="72">
        <f ca="1" t="shared" si="21"/>
        <v>0.2127659574468085</v>
      </c>
      <c r="Q82" s="72">
        <f ca="1" t="shared" si="21"/>
        <v>0.2127659574468085</v>
      </c>
      <c r="R82" s="72">
        <f ca="1" t="shared" si="21"/>
        <v>0.2127659574468085</v>
      </c>
      <c r="S82" s="72">
        <f ca="1" t="shared" si="21"/>
        <v>0.2127659574468085</v>
      </c>
    </row>
    <row r="83" spans="4:19" ht="11.25" collapsed="1">
      <c r="D83" s="63" t="str">
        <f>"Reverse "&amp;D45</f>
        <v>Reverse Rate - New</v>
      </c>
      <c r="J83" s="72">
        <f ca="1">OFFSET($T45,0,-J$18)</f>
        <v>0</v>
      </c>
      <c r="K83" s="72">
        <f aca="true" ca="1" t="shared" si="22" ref="K83:S83">OFFSET($T45,0,-K$18)</f>
        <v>0</v>
      </c>
      <c r="L83" s="72">
        <f ca="1" t="shared" si="22"/>
        <v>0</v>
      </c>
      <c r="M83" s="72">
        <f ca="1" t="shared" si="22"/>
        <v>0</v>
      </c>
      <c r="N83" s="72">
        <f ca="1" t="shared" si="22"/>
        <v>0</v>
      </c>
      <c r="O83" s="72">
        <f ca="1" t="shared" si="22"/>
        <v>0</v>
      </c>
      <c r="P83" s="72">
        <f ca="1" t="shared" si="22"/>
        <v>0</v>
      </c>
      <c r="Q83" s="72">
        <f ca="1" t="shared" si="22"/>
        <v>0.31034482758620685</v>
      </c>
      <c r="R83" s="72">
        <f ca="1" t="shared" si="22"/>
        <v>0.3448275862068966</v>
      </c>
      <c r="S83" s="72">
        <f ca="1" t="shared" si="22"/>
        <v>0.3448275862068966</v>
      </c>
    </row>
    <row r="84" ht="11.25"/>
    <row r="85" spans="4:19" ht="11.25">
      <c r="D85" s="63" t="str">
        <f>$D$38&amp;" - Existing"</f>
        <v>Depreciation Charge ($) - Existing</v>
      </c>
      <c r="J85" s="75">
        <f aca="true" t="shared" si="23" ref="J85:S85">Opening_NCA*J44</f>
        <v>159.5744680851064</v>
      </c>
      <c r="K85" s="75">
        <f t="shared" si="23"/>
        <v>159.5744680851064</v>
      </c>
      <c r="L85" s="75">
        <f t="shared" si="23"/>
        <v>159.5744680851064</v>
      </c>
      <c r="M85" s="75">
        <f t="shared" si="23"/>
        <v>159.5744680851064</v>
      </c>
      <c r="N85" s="75">
        <f t="shared" si="23"/>
        <v>111.70212765957446</v>
      </c>
      <c r="O85" s="75">
        <f t="shared" si="23"/>
        <v>0</v>
      </c>
      <c r="P85" s="75">
        <f t="shared" si="23"/>
        <v>0</v>
      </c>
      <c r="Q85" s="75">
        <f t="shared" si="23"/>
        <v>0</v>
      </c>
      <c r="R85" s="75">
        <f t="shared" si="23"/>
        <v>0</v>
      </c>
      <c r="S85" s="75">
        <f t="shared" si="23"/>
        <v>0</v>
      </c>
    </row>
    <row r="86" spans="4:19" ht="11.25" collapsed="1">
      <c r="D86" s="63" t="str">
        <f>$D$38&amp;" - New"</f>
        <v>Depreciation Charge ($) - New</v>
      </c>
      <c r="J86" s="80">
        <f ca="1">SUMPRODUCT(OFFSET($J30,0,0,1,J$18),OFFSET($S83,0,0,1,-J$18))</f>
        <v>34.48275862068966</v>
      </c>
      <c r="K86" s="80">
        <f aca="true" ca="1" t="shared" si="24" ref="J86:S86">SUMPRODUCT(OFFSET($J30,0,0,1,K$18),OFFSET($S83,0,0,1,-K$18))</f>
        <v>86.20689655172414</v>
      </c>
      <c r="L86" s="80">
        <f ca="1" t="shared" si="24"/>
        <v>143.1034482758621</v>
      </c>
      <c r="M86" s="80">
        <f ca="1">SUMPRODUCT(OFFSET($J30,0,0,1,M$18),OFFSET($S83,0,0,1,-M$18))</f>
        <v>182.75862068965517</v>
      </c>
      <c r="N86" s="80">
        <f ca="1" t="shared" si="24"/>
        <v>175</v>
      </c>
      <c r="O86" s="80">
        <f ca="1" t="shared" si="24"/>
        <v>368.2758620689655</v>
      </c>
      <c r="P86" s="80">
        <f ca="1" t="shared" si="24"/>
        <v>436.8965517241379</v>
      </c>
      <c r="Q86" s="80">
        <f ca="1" t="shared" si="24"/>
        <v>427.9310344827586</v>
      </c>
      <c r="R86" s="80">
        <f ca="1" t="shared" si="24"/>
        <v>203.10344827586204</v>
      </c>
      <c r="S86" s="80">
        <f ca="1" t="shared" si="24"/>
        <v>97.75862068965517</v>
      </c>
    </row>
    <row r="87" spans="10:19" ht="11.25">
      <c r="J87" s="78">
        <f>SUM(J85:J86)</f>
        <v>194.05722670579604</v>
      </c>
      <c r="K87" s="78">
        <f aca="true" t="shared" si="25" ref="K87:S87">SUM(K85:K86)</f>
        <v>245.78136463683052</v>
      </c>
      <c r="L87" s="78">
        <f t="shared" si="25"/>
        <v>302.6779163609685</v>
      </c>
      <c r="M87" s="78">
        <f t="shared" si="25"/>
        <v>342.33308877476156</v>
      </c>
      <c r="N87" s="78">
        <f t="shared" si="25"/>
        <v>286.70212765957444</v>
      </c>
      <c r="O87" s="78">
        <f t="shared" si="25"/>
        <v>368.2758620689655</v>
      </c>
      <c r="P87" s="78">
        <f t="shared" si="25"/>
        <v>436.8965517241379</v>
      </c>
      <c r="Q87" s="78">
        <f t="shared" si="25"/>
        <v>427.9310344827586</v>
      </c>
      <c r="R87" s="78">
        <f t="shared" si="25"/>
        <v>203.10344827586204</v>
      </c>
      <c r="S87" s="78">
        <f t="shared" si="25"/>
        <v>97.75862068965517</v>
      </c>
    </row>
    <row r="88" ht="11.25" collapsed="1"/>
    <row r="89" ht="11.25"/>
    <row r="90" ht="11.25"/>
    <row r="91" ht="11.25"/>
  </sheetData>
  <mergeCells count="2">
    <mergeCell ref="D24:P25"/>
    <mergeCell ref="B3:F3"/>
  </mergeCells>
  <dataValidations count="1">
    <dataValidation type="custom" showErrorMessage="1" errorTitle="Invalid Assumption" error="Assumption must be a number." sqref="I28 I31">
      <formula1>NOT(ISERROR(I28/1))</formula1>
    </dataValidation>
  </dataValidations>
  <hyperlinks>
    <hyperlink ref="B3" location="HL_Home" tooltip="Go to Table of Contents" display="HL_Home"/>
    <hyperlink ref="A4" location="$B$20" tooltip="Go to Top of Sheet" display="$B$20"/>
    <hyperlink ref="B4" location="'Depn_1_BA'!A1" tooltip="Go to Previous Sheet" display="'Depn_1_BA'!A1"/>
  </hyperlinks>
  <printOptions/>
  <pageMargins left="0.393700787401575" right="0.393700787401575" top="0.5905511811023625" bottom="0.9842519685039375" header="0" footer="0.3149606299212597"/>
  <pageSetup horizontalDpi="200" verticalDpi="200" orientation="landscape" paperSize="9" scale="89" r:id="rId2"/>
  <headerFooter alignWithMargins="0">
    <oddFooter>&amp;L&amp;F
SumProduct Pty Ltd&amp;C&amp;A
Page &amp;P&amp;R&amp;D
&amp;T</oddFooter>
  </headerFooter>
  <rowBreaks count="1" manualBreakCount="1">
    <brk id="62" min="1" max="1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7" t="s">
        <v>133</v>
      </c>
    </row>
    <row r="9" ht="18">
      <c r="C9" s="2" t="s">
        <v>144</v>
      </c>
    </row>
    <row r="10" ht="16.5">
      <c r="C10" s="36" t="s">
        <v>146</v>
      </c>
    </row>
    <row r="11" ht="15.75">
      <c r="C11" s="6" t="str">
        <f>Model_Name</f>
        <v>Depreciation</v>
      </c>
    </row>
    <row r="12" spans="3:6" ht="11.25">
      <c r="C12" s="81" t="s">
        <v>2</v>
      </c>
      <c r="D12" s="81"/>
      <c r="E12" s="81"/>
      <c r="F12" s="81"/>
    </row>
    <row r="13" spans="3:4" ht="12.75">
      <c r="C13" s="12" t="s">
        <v>9</v>
      </c>
      <c r="D13" s="13" t="s">
        <v>10</v>
      </c>
    </row>
    <row r="17" ht="11.25">
      <c r="C17" s="3" t="s">
        <v>129</v>
      </c>
    </row>
    <row r="18" ht="11.25">
      <c r="C18" s="4" t="s">
        <v>130</v>
      </c>
    </row>
    <row r="19" ht="11.25">
      <c r="C19" s="4" t="s">
        <v>131</v>
      </c>
    </row>
    <row r="20" ht="11.25">
      <c r="C20" s="4" t="s">
        <v>132</v>
      </c>
    </row>
  </sheetData>
  <mergeCells count="1">
    <mergeCell ref="C12:F12"/>
  </mergeCells>
  <hyperlinks>
    <hyperlink ref="C12" location="HL_Home" tooltip="Go to Table of Contents" display="HL_Home"/>
    <hyperlink ref="C13" location="GA!A1" tooltip="Go to Previous Sheet" display="GA!A1"/>
    <hyperlink ref="D13" location="GL!A1" tooltip="Go to Next Sheet" display="GL!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8"/>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7" t="s">
        <v>114</v>
      </c>
      <c r="B1" s="2" t="s">
        <v>8</v>
      </c>
    </row>
    <row r="2" ht="15.75">
      <c r="B2" s="6" t="str">
        <f>Model_Name</f>
        <v>Depreciation</v>
      </c>
    </row>
    <row r="3" spans="2:3" ht="11.25">
      <c r="B3" s="81" t="s">
        <v>2</v>
      </c>
      <c r="C3" s="81"/>
    </row>
    <row r="4" spans="1:3" ht="12.75">
      <c r="A4" s="9" t="s">
        <v>5</v>
      </c>
      <c r="B4" s="12" t="s">
        <v>9</v>
      </c>
      <c r="C4" s="13"/>
    </row>
    <row r="5" ht="11.25">
      <c r="B5" s="8"/>
    </row>
    <row r="7" spans="2:13" ht="12.75">
      <c r="B7" s="10" t="s">
        <v>11</v>
      </c>
      <c r="E7" s="10" t="s">
        <v>12</v>
      </c>
      <c r="F7" s="10" t="s">
        <v>56</v>
      </c>
      <c r="I7" s="10" t="s">
        <v>12</v>
      </c>
      <c r="J7" s="10" t="s">
        <v>87</v>
      </c>
      <c r="M7" s="10" t="s">
        <v>12</v>
      </c>
    </row>
    <row r="9" spans="3:13" ht="11.25">
      <c r="C9" s="14" t="s">
        <v>13</v>
      </c>
      <c r="E9" s="4" t="s">
        <v>14</v>
      </c>
      <c r="G9" s="14" t="s">
        <v>57</v>
      </c>
      <c r="I9" s="4" t="s">
        <v>58</v>
      </c>
      <c r="K9" s="14" t="s">
        <v>88</v>
      </c>
      <c r="M9" s="4" t="s">
        <v>89</v>
      </c>
    </row>
    <row r="10" spans="3:13" ht="11.25">
      <c r="C10" s="15" t="s">
        <v>15</v>
      </c>
      <c r="E10" s="4" t="s">
        <v>16</v>
      </c>
      <c r="G10" s="15" t="s">
        <v>59</v>
      </c>
      <c r="I10" s="4" t="s">
        <v>60</v>
      </c>
      <c r="K10" s="15" t="s">
        <v>90</v>
      </c>
      <c r="M10" s="4" t="s">
        <v>91</v>
      </c>
    </row>
    <row r="11" spans="3:13" ht="11.25">
      <c r="C11" s="15" t="s">
        <v>17</v>
      </c>
      <c r="E11" s="4" t="s">
        <v>18</v>
      </c>
      <c r="G11" s="15" t="s">
        <v>61</v>
      </c>
      <c r="I11" s="4" t="s">
        <v>62</v>
      </c>
      <c r="K11" s="15" t="s">
        <v>92</v>
      </c>
      <c r="M11" s="4" t="s">
        <v>93</v>
      </c>
    </row>
    <row r="12" spans="3:13" ht="11.25">
      <c r="C12" s="15" t="s">
        <v>19</v>
      </c>
      <c r="E12" s="4" t="s">
        <v>20</v>
      </c>
      <c r="G12" s="15" t="s">
        <v>63</v>
      </c>
      <c r="I12" s="4" t="s">
        <v>64</v>
      </c>
      <c r="K12" s="15" t="s">
        <v>94</v>
      </c>
      <c r="M12" s="4" t="s">
        <v>95</v>
      </c>
    </row>
    <row r="13" spans="3:13" ht="11.25">
      <c r="C13" s="15" t="s">
        <v>21</v>
      </c>
      <c r="E13" s="4" t="s">
        <v>22</v>
      </c>
      <c r="G13" s="15" t="s">
        <v>65</v>
      </c>
      <c r="I13" s="4" t="s">
        <v>66</v>
      </c>
      <c r="K13" s="15" t="s">
        <v>96</v>
      </c>
      <c r="M13" s="4" t="s">
        <v>97</v>
      </c>
    </row>
    <row r="14" spans="3:5" ht="11.25">
      <c r="C14" s="15" t="s">
        <v>23</v>
      </c>
      <c r="E14" s="4" t="s">
        <v>23</v>
      </c>
    </row>
    <row r="15" spans="3:5" ht="11.25">
      <c r="C15" s="15" t="s">
        <v>24</v>
      </c>
      <c r="E15" s="4" t="s">
        <v>25</v>
      </c>
    </row>
    <row r="16" spans="3:13" ht="12.75">
      <c r="C16" s="15" t="s">
        <v>26</v>
      </c>
      <c r="E16" s="4" t="s">
        <v>27</v>
      </c>
      <c r="F16" s="10" t="s">
        <v>67</v>
      </c>
      <c r="I16" s="10" t="s">
        <v>12</v>
      </c>
      <c r="J16" s="10" t="s">
        <v>98</v>
      </c>
      <c r="M16" s="10" t="s">
        <v>12</v>
      </c>
    </row>
    <row r="17" spans="3:5" ht="11.25">
      <c r="C17" s="15" t="s">
        <v>28</v>
      </c>
      <c r="E17" s="4" t="s">
        <v>29</v>
      </c>
    </row>
    <row r="18" spans="3:13" ht="11.25">
      <c r="C18" s="15" t="s">
        <v>30</v>
      </c>
      <c r="E18" s="4" t="s">
        <v>31</v>
      </c>
      <c r="G18" s="14" t="s">
        <v>68</v>
      </c>
      <c r="I18" s="4" t="s">
        <v>69</v>
      </c>
      <c r="K18" s="14" t="s">
        <v>99</v>
      </c>
      <c r="M18" s="4"/>
    </row>
    <row r="19" spans="3:13" ht="11.25">
      <c r="C19" s="15" t="s">
        <v>32</v>
      </c>
      <c r="E19" s="4" t="s">
        <v>33</v>
      </c>
      <c r="G19" s="15" t="s">
        <v>70</v>
      </c>
      <c r="I19" s="4" t="s">
        <v>71</v>
      </c>
      <c r="K19" s="16">
        <v>60</v>
      </c>
      <c r="M19" s="4" t="s">
        <v>100</v>
      </c>
    </row>
    <row r="20" spans="3:13" ht="11.25">
      <c r="C20" s="15" t="s">
        <v>34</v>
      </c>
      <c r="E20" s="4" t="s">
        <v>35</v>
      </c>
      <c r="G20" s="15" t="s">
        <v>50</v>
      </c>
      <c r="I20" s="4" t="s">
        <v>72</v>
      </c>
      <c r="K20" s="16">
        <v>60</v>
      </c>
      <c r="M20" s="4" t="s">
        <v>101</v>
      </c>
    </row>
    <row r="21" spans="3:13" ht="11.25">
      <c r="C21" s="15" t="s">
        <v>36</v>
      </c>
      <c r="E21" s="4" t="s">
        <v>37</v>
      </c>
      <c r="G21" s="15" t="s">
        <v>39</v>
      </c>
      <c r="I21" s="4" t="s">
        <v>73</v>
      </c>
      <c r="K21" s="16">
        <v>24</v>
      </c>
      <c r="M21" s="4" t="s">
        <v>102</v>
      </c>
    </row>
    <row r="22" spans="7:13" ht="11.25">
      <c r="G22" s="15" t="s">
        <v>13</v>
      </c>
      <c r="I22" s="4" t="s">
        <v>74</v>
      </c>
      <c r="K22" s="16">
        <v>7</v>
      </c>
      <c r="M22" s="4" t="s">
        <v>103</v>
      </c>
    </row>
    <row r="23" spans="11:13" ht="11.25">
      <c r="K23" s="16">
        <v>52</v>
      </c>
      <c r="M23" s="4" t="s">
        <v>104</v>
      </c>
    </row>
    <row r="24" spans="2:13" ht="12.75">
      <c r="B24" s="10" t="s">
        <v>38</v>
      </c>
      <c r="E24" s="10" t="s">
        <v>12</v>
      </c>
      <c r="K24" s="16">
        <v>3</v>
      </c>
      <c r="M24" s="4" t="s">
        <v>105</v>
      </c>
    </row>
    <row r="25" spans="6:13" ht="12.75">
      <c r="F25" s="10" t="s">
        <v>75</v>
      </c>
      <c r="I25" s="10" t="s">
        <v>12</v>
      </c>
      <c r="K25" s="16">
        <v>6</v>
      </c>
      <c r="M25" s="4" t="s">
        <v>106</v>
      </c>
    </row>
    <row r="26" spans="3:5" ht="11.25">
      <c r="C26" s="14" t="s">
        <v>39</v>
      </c>
      <c r="E26" s="4" t="s">
        <v>40</v>
      </c>
    </row>
    <row r="27" spans="3:9" ht="11.25">
      <c r="C27" s="15" t="s">
        <v>41</v>
      </c>
      <c r="E27" s="4" t="s">
        <v>42</v>
      </c>
      <c r="G27" s="14" t="s">
        <v>76</v>
      </c>
      <c r="I27" s="4" t="s">
        <v>77</v>
      </c>
    </row>
    <row r="28" spans="3:13" ht="12.75">
      <c r="C28" s="15" t="s">
        <v>43</v>
      </c>
      <c r="E28" s="4" t="s">
        <v>44</v>
      </c>
      <c r="G28" s="16">
        <v>1</v>
      </c>
      <c r="I28" s="4" t="s">
        <v>78</v>
      </c>
      <c r="J28" s="10" t="s">
        <v>107</v>
      </c>
      <c r="M28" s="10" t="s">
        <v>12</v>
      </c>
    </row>
    <row r="29" spans="3:9" ht="11.25">
      <c r="C29" s="15" t="s">
        <v>45</v>
      </c>
      <c r="E29" s="4" t="s">
        <v>46</v>
      </c>
      <c r="G29" s="16">
        <v>2</v>
      </c>
      <c r="I29" s="4" t="s">
        <v>79</v>
      </c>
    </row>
    <row r="30" spans="3:13" ht="11.25">
      <c r="C30" s="15" t="s">
        <v>47</v>
      </c>
      <c r="E30" s="4" t="s">
        <v>48</v>
      </c>
      <c r="G30" s="16">
        <v>4</v>
      </c>
      <c r="I30" s="4" t="s">
        <v>80</v>
      </c>
      <c r="K30" s="14" t="s">
        <v>108</v>
      </c>
      <c r="M30" s="4"/>
    </row>
    <row r="31" spans="7:13" ht="11.25">
      <c r="G31" s="16">
        <v>12</v>
      </c>
      <c r="I31" s="4" t="s">
        <v>81</v>
      </c>
      <c r="K31" s="16">
        <v>10</v>
      </c>
      <c r="M31" s="4" t="s">
        <v>109</v>
      </c>
    </row>
    <row r="32" spans="11:13" ht="11.25">
      <c r="K32" s="16">
        <v>100</v>
      </c>
      <c r="M32" s="4" t="s">
        <v>110</v>
      </c>
    </row>
    <row r="33" spans="2:13" ht="12.75">
      <c r="B33" s="10" t="s">
        <v>49</v>
      </c>
      <c r="E33" s="10" t="s">
        <v>12</v>
      </c>
      <c r="K33" s="16">
        <v>1000</v>
      </c>
      <c r="M33" s="4" t="s">
        <v>111</v>
      </c>
    </row>
    <row r="34" spans="6:13" ht="12.75">
      <c r="F34" s="10" t="s">
        <v>82</v>
      </c>
      <c r="I34" s="10" t="s">
        <v>12</v>
      </c>
      <c r="K34" s="16">
        <v>1000000</v>
      </c>
      <c r="M34" s="4" t="s">
        <v>112</v>
      </c>
    </row>
    <row r="35" spans="3:13" ht="11.25">
      <c r="C35" s="14" t="s">
        <v>50</v>
      </c>
      <c r="E35" s="4" t="s">
        <v>51</v>
      </c>
      <c r="K35" s="16">
        <v>1000000000</v>
      </c>
      <c r="M35" s="4" t="s">
        <v>113</v>
      </c>
    </row>
    <row r="36" spans="3:9" ht="11.25">
      <c r="C36" s="15" t="s">
        <v>52</v>
      </c>
      <c r="E36" s="4" t="s">
        <v>53</v>
      </c>
      <c r="G36" s="14" t="s">
        <v>83</v>
      </c>
      <c r="I36" s="4" t="s">
        <v>84</v>
      </c>
    </row>
    <row r="37" spans="3:9" ht="11.25">
      <c r="C37" s="15" t="s">
        <v>54</v>
      </c>
      <c r="E37" s="4" t="s">
        <v>55</v>
      </c>
      <c r="G37" s="15" t="s">
        <v>85</v>
      </c>
      <c r="I37" s="4" t="s">
        <v>85</v>
      </c>
    </row>
    <row r="38" spans="7:9" ht="11.25">
      <c r="G38" s="15" t="s">
        <v>86</v>
      </c>
      <c r="I38" s="4" t="s">
        <v>86</v>
      </c>
    </row>
  </sheetData>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s>
  <printOptions/>
  <pageMargins left="0.393700787401575" right="0.393700787401575" top="0.5905511811023625" bottom="0.9842519685039375" header="0" footer="0.3149606299212597"/>
  <pageSetup fitToHeight="1" fitToWidth="1" horizontalDpi="200" verticalDpi="200" orientation="landscape" paperSize="9" scale="98" r:id="rId1"/>
  <headerFooter alignWithMargins="0">
    <oddFooter>&amp;L&amp;"Arial,Bold"&amp;7&amp;F
&amp;A
Printed: &amp;T on &amp;D&amp;C&amp;"Arial,Bold"&amp;10Page &amp;P of &amp;N</oddFooter>
  </headerFooter>
</worksheet>
</file>

<file path=xl/worksheets/sheet8.xml><?xml version="1.0" encoding="utf-8"?>
<worksheet xmlns="http://schemas.openxmlformats.org/spreadsheetml/2006/main" xmlns:r="http://schemas.openxmlformats.org/officeDocument/2006/relationships">
  <dimension ref="A1:E19"/>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1.25"/>
  <cols>
    <col min="1" max="2" width="3.83203125" style="0" customWidth="1"/>
    <col min="3" max="3" width="30.83203125" style="0" customWidth="1"/>
    <col min="4" max="4" width="3.83203125" style="0" customWidth="1"/>
    <col min="5" max="5" width="30.83203125" style="0" customWidth="1"/>
    <col min="6" max="6" width="3.83203125" style="0" customWidth="1"/>
    <col min="7" max="7" width="30.83203125" style="0" customWidth="1"/>
    <col min="8" max="8" width="3.83203125" style="0" customWidth="1"/>
    <col min="9" max="9" width="30.83203125" style="0" customWidth="1"/>
    <col min="10" max="10" width="3.83203125" style="0" customWidth="1"/>
    <col min="11" max="11" width="30.83203125" style="0" customWidth="1"/>
    <col min="12" max="12" width="3.83203125" style="0" customWidth="1"/>
    <col min="13" max="13" width="3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153</v>
      </c>
      <c r="B1" s="2" t="s">
        <v>154</v>
      </c>
    </row>
    <row r="2" ht="15.75">
      <c r="B2" s="6" t="str">
        <f>Model_Name</f>
        <v>Depreciation</v>
      </c>
    </row>
    <row r="3" spans="2:3" ht="11.25">
      <c r="B3" s="81" t="s">
        <v>2</v>
      </c>
      <c r="C3" s="81"/>
    </row>
    <row r="4" spans="1:2" ht="12.75">
      <c r="A4" s="9" t="s">
        <v>5</v>
      </c>
      <c r="B4" s="12" t="s">
        <v>9</v>
      </c>
    </row>
    <row r="5" ht="11.25">
      <c r="B5" s="8"/>
    </row>
    <row r="7" spans="2:5" ht="12.75">
      <c r="B7" s="67" t="str">
        <f>B1</f>
        <v>Numbers Lookup</v>
      </c>
      <c r="E7" s="10" t="s">
        <v>12</v>
      </c>
    </row>
    <row r="9" spans="3:5" ht="11.25">
      <c r="C9" s="68" t="str">
        <f>B7&amp;" Table"</f>
        <v>Numbers Lookup Table</v>
      </c>
      <c r="E9" s="4" t="s">
        <v>155</v>
      </c>
    </row>
    <row r="10" spans="3:5" ht="11.25">
      <c r="C10" s="66">
        <v>1</v>
      </c>
      <c r="E10" s="4"/>
    </row>
    <row r="11" spans="3:5" ht="11.25">
      <c r="C11" s="66">
        <v>2</v>
      </c>
      <c r="E11" s="4"/>
    </row>
    <row r="12" spans="3:5" ht="11.25">
      <c r="C12" s="66">
        <v>3</v>
      </c>
      <c r="E12" s="4"/>
    </row>
    <row r="13" spans="3:5" ht="11.25">
      <c r="C13" s="66">
        <v>4</v>
      </c>
      <c r="E13" s="4"/>
    </row>
    <row r="14" spans="3:5" ht="11.25">
      <c r="C14" s="66">
        <v>5</v>
      </c>
      <c r="E14" s="4"/>
    </row>
    <row r="15" spans="3:5" ht="11.25">
      <c r="C15" s="66">
        <v>6</v>
      </c>
      <c r="E15" s="4"/>
    </row>
    <row r="16" spans="3:5" ht="11.25">
      <c r="C16" s="66">
        <v>7</v>
      </c>
      <c r="E16" s="4"/>
    </row>
    <row r="17" spans="3:5" ht="11.25">
      <c r="C17" s="66">
        <v>8</v>
      </c>
      <c r="E17" s="4"/>
    </row>
    <row r="18" spans="3:5" ht="11.25">
      <c r="C18" s="66">
        <v>9</v>
      </c>
      <c r="E18" s="4"/>
    </row>
    <row r="19" spans="3:5" ht="11.25">
      <c r="C19" s="66">
        <v>10</v>
      </c>
      <c r="E19" s="4"/>
    </row>
  </sheetData>
  <mergeCells count="1">
    <mergeCell ref="B3:C3"/>
  </mergeCells>
  <hyperlinks>
    <hyperlink ref="B3" location="HL_Home" tooltip="Go to Table of Contents" display="HL_Home"/>
    <hyperlink ref="A4" location="$B$5" tooltip="Go to Top of Sheet" display="$B$5"/>
    <hyperlink ref="B4" location="GL!A1" tooltip="Go to Previous Sheet" display="GL!A1"/>
  </hyperlinks>
  <printOptions/>
  <pageMargins left="0.393700787401575" right="0.393700787401575" top="0.5905511811023625" bottom="0.9842519685039375" header="0" footer="0.3149606299212597"/>
  <pageSetup horizontalDpi="200" verticalDpi="200" orientation="landscape" paperSize="9" r:id="rId1"/>
  <headerFooter alignWithMargins="0">
    <oddFooter>&amp;L&amp;"Arial,Bold"&amp;7&amp;F
&amp;A
Printed: &amp;T on &amp;D&amp;C&amp;"Arial,Bold"&amp;10Page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2010-04-03T04:27:36Z</cp:lastPrinted>
  <dcterms:created xsi:type="dcterms:W3CDTF">2009-11-18T21:39:08Z</dcterms:created>
  <dcterms:modified xsi:type="dcterms:W3CDTF">2010-04-03T04:27:38Z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